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8475" activeTab="4"/>
  </bookViews>
  <sheets>
    <sheet name="COSTOS" sheetId="1" r:id="rId1"/>
    <sheet name="FLUJO DE COSTOS" sheetId="2" r:id="rId2"/>
    <sheet name="COSTOS SOCIALES" sheetId="3" r:id="rId3"/>
    <sheet name="flujo final" sheetId="4" r:id="rId4"/>
    <sheet name="flujo social" sheetId="5" r:id="rId5"/>
  </sheets>
  <definedNames/>
  <calcPr fullCalcOnLoad="1"/>
</workbook>
</file>

<file path=xl/sharedStrings.xml><?xml version="1.0" encoding="utf-8"?>
<sst xmlns="http://schemas.openxmlformats.org/spreadsheetml/2006/main" count="364" uniqueCount="88">
  <si>
    <t>Personal</t>
  </si>
  <si>
    <t>Curso de capacitación al personal del nodo regional</t>
  </si>
  <si>
    <t>Curso de capacitación al personal encargado de los equipos de seguimiento de los recursos hídricos</t>
  </si>
  <si>
    <t>CAPACITACION EN SISTEMA INTEGRAL DE INFORMACION</t>
  </si>
  <si>
    <t>COMPONENTES</t>
  </si>
  <si>
    <t>1. Contar con programas de sensibilización en la importancia del acceso a la información ambiental para una toma adecuada de decisión</t>
  </si>
  <si>
    <t>Expediete técico</t>
  </si>
  <si>
    <t>Costo total</t>
  </si>
  <si>
    <t>2.1 Adquisición de equipos e implementación de 7 oficinas provinciales (Nodos Locales)</t>
  </si>
  <si>
    <t>2. Contar con oficinas equipadas a nivel provincial para difundir la información</t>
  </si>
  <si>
    <t>2.2 Capacitación al personal encargado de las oficinas provinciales</t>
  </si>
  <si>
    <t>3.3 Adquisición de equipos e implementación de la oficina regional (Nodo Regional)</t>
  </si>
  <si>
    <t>3.4 Capacitación al personal encargado de la oficina regional</t>
  </si>
  <si>
    <t>3.5 Diseño e implementación del SIAR</t>
  </si>
  <si>
    <t>Hardware y sofware para articulacion del SIAR al SIIR</t>
  </si>
  <si>
    <t>4. Proceso de equipamiento</t>
  </si>
  <si>
    <t xml:space="preserve">4.1 Adquisición e implementación de equipos de monitoreo de los recursos naturales para el seguimiento de las variables hidrometeorológicas </t>
  </si>
  <si>
    <t>4.2 Capacitación al personal encargado de los equipos instalados</t>
  </si>
  <si>
    <t>3. Contar con una oficina regional equipada 
y estructurada para centralizar, armonizar y difundir la información</t>
  </si>
  <si>
    <t>5. Contar con tecnología y 
recursos humanos para recolección, procesamiento, evaluación y sistematización de la información económica y social regional</t>
  </si>
  <si>
    <t>5.2. Contratación de  recursos humanos para la implementación de sistemas de información</t>
  </si>
  <si>
    <t>5.3. Adquisición de servicios especializados para la implementación de sistemas de información regional</t>
  </si>
  <si>
    <t>5.4. Capacitación al personal encargado del manejo de información regional</t>
  </si>
  <si>
    <r>
      <t xml:space="preserve">3.2. Montaje institucional </t>
    </r>
    <r>
      <rPr>
        <b/>
        <sz val="10"/>
        <rFont val="Arial"/>
        <family val="2"/>
      </rPr>
      <t>a fin de 
intercambiar los datos mediante la firma de convenios de cooperación interinstitucional e creación de un grupo técnico en el seno de la CAR</t>
    </r>
  </si>
  <si>
    <t>Montaje institucional</t>
  </si>
  <si>
    <t>3.6. Articulación al Sistema 
de Información Integral  Regional</t>
  </si>
  <si>
    <t>Equipos y servicios para 
la recopilacion de informacion economica y social</t>
  </si>
  <si>
    <t>1.1 Difusión del Sistema de Información Ambiental hacia la 
población e instituciones mediante la realización de talleres, spots radiales y afiches</t>
  </si>
  <si>
    <t>1.2 Capacitación a los usuarios del Sistema de 
Información Ambiental (población en general e instituciones) mediante talleres.</t>
  </si>
  <si>
    <t>3.1 Consultas públicas y participación de la población 
para determinar la información necesaria</t>
  </si>
  <si>
    <t>5.1. Adquisición e implementación de equipos y
 software de para la recopilación y sistematización de información económica y social</t>
  </si>
  <si>
    <t>SUB TOTAL</t>
  </si>
  <si>
    <t>GASTOS GENERALES (6%)</t>
  </si>
  <si>
    <t>Imprevistos (1%)</t>
  </si>
  <si>
    <t>TOTAL INVERSION</t>
  </si>
  <si>
    <t>Componentes/ Actividades</t>
  </si>
  <si>
    <t>COSTOS A PRECIOS DE MERCADO ALTERNATIVA 1</t>
  </si>
  <si>
    <t>Sensibilización</t>
  </si>
  <si>
    <t>Capacitación a los usuarios</t>
  </si>
  <si>
    <t>Equipamiento de las oficinas provinciales</t>
  </si>
  <si>
    <t>Capacitación al personal</t>
  </si>
  <si>
    <t>Consultación pública para determinar la información necesaria</t>
  </si>
  <si>
    <t>Equipamiento de la oficina regional</t>
  </si>
  <si>
    <t xml:space="preserve">Diseño e implementación del SIAR </t>
  </si>
  <si>
    <t>Equipos de monitoreo de los recursos naturales</t>
  </si>
  <si>
    <t>SERVICIOS DE CONSULTORIA</t>
  </si>
  <si>
    <t>3.2. Compra de datos</t>
  </si>
  <si>
    <t>COSTOS A PRECIOS DE MERCADO ALTERNATIVA 2</t>
  </si>
  <si>
    <t>Trim. 1</t>
  </si>
  <si>
    <t>Trim. 2</t>
  </si>
  <si>
    <t>Trim. 3</t>
  </si>
  <si>
    <t>Trim. 4</t>
  </si>
  <si>
    <t>FLUJO DE COSTOS A PRECIOS DE MERCADO ALTERNATIVA 1</t>
  </si>
  <si>
    <t>Compra de datos</t>
  </si>
  <si>
    <t>FLUJO DE BENEFICIOS INCREMENTALES A PRECIOS PRIVADOS ALTERNATIVA 1</t>
  </si>
  <si>
    <t>RUBRO</t>
  </si>
  <si>
    <t>PROGRAMACION   ANUAL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</si>
  <si>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</si>
  <si>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</si>
  <si>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</si>
  <si>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</si>
  <si>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</si>
  <si>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</si>
  <si>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</si>
  <si>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</si>
  <si>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</si>
  <si>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</si>
  <si>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BENEFICIO INCREMENTAL</t>
  </si>
  <si>
    <t>COSTO INCREMENTAL</t>
  </si>
  <si>
    <t xml:space="preserve">BENEFICIO NETO </t>
  </si>
  <si>
    <t>FLUJO DE BENEFICIOS INCREMENTALES A PRECIOS    PRIVADO  ALTERNATIVA      2</t>
  </si>
  <si>
    <t>BENEFICIO NETO</t>
  </si>
  <si>
    <t>VAN</t>
  </si>
  <si>
    <t>TIR</t>
  </si>
  <si>
    <t>VNA</t>
  </si>
  <si>
    <t>B/C</t>
  </si>
  <si>
    <t>ALTERNATIVA 1</t>
  </si>
  <si>
    <t xml:space="preserve">4.1 Adquisición e implementación de equipos 
de monitoreo de los recursos naturales para el seguimiento de las variables hidrometeorológicas </t>
  </si>
  <si>
    <t>4.2 Capacitación al personal 
encargado de los equipos instalados</t>
  </si>
  <si>
    <t>5.3. Adquisición de servicios especializados 
para la implementación de sistemas de información regional</t>
  </si>
  <si>
    <t>total</t>
  </si>
  <si>
    <t>ANALISIS DE SENSIBILIDAD A PRECIOS DE MERCADO</t>
  </si>
  <si>
    <t>VARIACION DE LOS</t>
  </si>
  <si>
    <t xml:space="preserve"> BENEFICIOS </t>
  </si>
  <si>
    <t>ALTERNATIVA 2</t>
  </si>
  <si>
    <t>Gastos de supervision (3%)</t>
  </si>
  <si>
    <t>FLUJO DE COSTOS A PRECIOS DE MERCADO ALTERNATIVA 2</t>
  </si>
  <si>
    <t>FLUJO DE BENEFICIOS INCREMENTALES A PRECIOS PRIVADO ALTERNATIVA 2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</si>
</sst>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000000"/>
    <numFmt numFmtId="177" formatCode="0.0%"/>
    <numFmt numFmtId="178" formatCode="0.000%"/>
    <numFmt numFmtId="179" formatCode="0.0000%"/>
    <numFmt numFmtId="180" formatCode="#,##0.00000000"/>
    <numFmt numFmtId="181" formatCode="#,##0.0000000"/>
    <numFmt numFmtId="182" formatCode="#,##0.000000"/>
    <numFmt numFmtId="183" formatCode="#,##0.00000"/>
    <numFmt numFmtId="184" formatCode="#,##0.0000"/>
    <numFmt numFmtId="185" formatCode="#,##0.000"/>
    <numFmt numFmtId="186" formatCode="#,##0.0000000000"/>
    <numFmt numFmtId="187" formatCode="_(* #,##0_);_(* \(#,##0\);_(* &quot;-&quot;??_);_(@_)"/>
    <numFmt numFmtId="188" formatCode="#,##0.0"/>
  </numFmts>
  <fonts count="45"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71" fontId="4" fillId="33" borderId="15" xfId="48" applyFont="1" applyFill="1" applyBorder="1" applyAlignment="1">
      <alignment/>
    </xf>
    <xf numFmtId="171" fontId="2" fillId="0" borderId="16" xfId="48" applyFont="1" applyFill="1" applyBorder="1" applyAlignment="1">
      <alignment/>
    </xf>
    <xf numFmtId="171" fontId="0" fillId="0" borderId="17" xfId="48" applyFont="1" applyFill="1" applyBorder="1" applyAlignment="1">
      <alignment/>
    </xf>
    <xf numFmtId="171" fontId="0" fillId="0" borderId="16" xfId="48" applyFont="1" applyFill="1" applyBorder="1" applyAlignment="1">
      <alignment/>
    </xf>
    <xf numFmtId="171" fontId="2" fillId="0" borderId="18" xfId="48" applyFont="1" applyFill="1" applyBorder="1" applyAlignment="1">
      <alignment/>
    </xf>
    <xf numFmtId="171" fontId="0" fillId="0" borderId="18" xfId="48" applyFont="1" applyFill="1" applyBorder="1" applyAlignment="1">
      <alignment/>
    </xf>
    <xf numFmtId="171" fontId="2" fillId="0" borderId="17" xfId="48" applyFont="1" applyFill="1" applyBorder="1" applyAlignment="1">
      <alignment/>
    </xf>
    <xf numFmtId="171" fontId="2" fillId="33" borderId="15" xfId="48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 wrapText="1"/>
    </xf>
    <xf numFmtId="171" fontId="4" fillId="34" borderId="15" xfId="48" applyFont="1" applyFill="1" applyBorder="1" applyAlignment="1">
      <alignment/>
    </xf>
    <xf numFmtId="171" fontId="0" fillId="0" borderId="16" xfId="0" applyNumberFormat="1" applyFill="1" applyBorder="1" applyAlignment="1">
      <alignment/>
    </xf>
    <xf numFmtId="171" fontId="0" fillId="0" borderId="17" xfId="0" applyNumberFormat="1" applyFill="1" applyBorder="1" applyAlignment="1">
      <alignment/>
    </xf>
    <xf numFmtId="171" fontId="4" fillId="34" borderId="15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1" fontId="4" fillId="33" borderId="20" xfId="48" applyFont="1" applyFill="1" applyBorder="1" applyAlignment="1">
      <alignment/>
    </xf>
    <xf numFmtId="171" fontId="2" fillId="0" borderId="21" xfId="48" applyFont="1" applyFill="1" applyBorder="1" applyAlignment="1">
      <alignment/>
    </xf>
    <xf numFmtId="171" fontId="0" fillId="0" borderId="22" xfId="48" applyFont="1" applyFill="1" applyBorder="1" applyAlignment="1">
      <alignment/>
    </xf>
    <xf numFmtId="171" fontId="0" fillId="0" borderId="21" xfId="48" applyFont="1" applyFill="1" applyBorder="1" applyAlignment="1">
      <alignment/>
    </xf>
    <xf numFmtId="171" fontId="2" fillId="0" borderId="23" xfId="48" applyFont="1" applyFill="1" applyBorder="1" applyAlignment="1">
      <alignment/>
    </xf>
    <xf numFmtId="171" fontId="0" fillId="0" borderId="23" xfId="48" applyFont="1" applyFill="1" applyBorder="1" applyAlignment="1">
      <alignment/>
    </xf>
    <xf numFmtId="171" fontId="2" fillId="0" borderId="22" xfId="48" applyFont="1" applyFill="1" applyBorder="1" applyAlignment="1">
      <alignment/>
    </xf>
    <xf numFmtId="171" fontId="2" fillId="33" borderId="20" xfId="48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 vertical="center" wrapText="1"/>
    </xf>
    <xf numFmtId="171" fontId="4" fillId="34" borderId="20" xfId="48" applyFont="1" applyFill="1" applyBorder="1" applyAlignment="1">
      <alignment/>
    </xf>
    <xf numFmtId="171" fontId="0" fillId="0" borderId="21" xfId="0" applyNumberFormat="1" applyFill="1" applyBorder="1" applyAlignment="1">
      <alignment/>
    </xf>
    <xf numFmtId="171" fontId="0" fillId="0" borderId="22" xfId="0" applyNumberFormat="1" applyFill="1" applyBorder="1" applyAlignment="1">
      <alignment/>
    </xf>
    <xf numFmtId="171" fontId="4" fillId="34" borderId="20" xfId="0" applyNumberFormat="1" applyFont="1" applyFill="1" applyBorder="1" applyAlignment="1">
      <alignment/>
    </xf>
    <xf numFmtId="171" fontId="0" fillId="0" borderId="10" xfId="0" applyNumberForma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/>
    </xf>
    <xf numFmtId="4" fontId="0" fillId="0" borderId="0" xfId="0" applyNumberFormat="1" applyAlignment="1">
      <alignment/>
    </xf>
    <xf numFmtId="4" fontId="9" fillId="35" borderId="24" xfId="0" applyNumberFormat="1" applyFont="1" applyFill="1" applyBorder="1" applyAlignment="1">
      <alignment/>
    </xf>
    <xf numFmtId="4" fontId="9" fillId="0" borderId="24" xfId="0" applyNumberFormat="1" applyFont="1" applyBorder="1" applyAlignment="1">
      <alignment/>
    </xf>
    <xf numFmtId="0" fontId="9" fillId="0" borderId="24" xfId="0" applyFont="1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71" fontId="0" fillId="0" borderId="0" xfId="48" applyFont="1" applyAlignment="1">
      <alignment/>
    </xf>
    <xf numFmtId="171" fontId="0" fillId="0" borderId="0" xfId="48" applyAlignment="1">
      <alignment/>
    </xf>
    <xf numFmtId="10" fontId="0" fillId="0" borderId="0" xfId="54" applyNumberFormat="1" applyAlignment="1">
      <alignment/>
    </xf>
    <xf numFmtId="171" fontId="10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9" fontId="3" fillId="0" borderId="15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/>
    </xf>
    <xf numFmtId="10" fontId="3" fillId="0" borderId="24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0" fontId="0" fillId="0" borderId="26" xfId="0" applyBorder="1" applyAlignment="1">
      <alignment horizontal="left"/>
    </xf>
    <xf numFmtId="171" fontId="0" fillId="0" borderId="25" xfId="0" applyNumberFormat="1" applyFill="1" applyBorder="1" applyAlignment="1">
      <alignment/>
    </xf>
    <xf numFmtId="171" fontId="0" fillId="0" borderId="27" xfId="0" applyNumberFormat="1" applyFill="1" applyBorder="1" applyAlignment="1">
      <alignment/>
    </xf>
    <xf numFmtId="0" fontId="5" fillId="33" borderId="28" xfId="0" applyFont="1" applyFill="1" applyBorder="1" applyAlignment="1">
      <alignment horizontal="left" vertical="top" wrapText="1"/>
    </xf>
    <xf numFmtId="0" fontId="5" fillId="33" borderId="29" xfId="0" applyFont="1" applyFill="1" applyBorder="1" applyAlignment="1">
      <alignment horizontal="left" vertical="top" wrapText="1"/>
    </xf>
    <xf numFmtId="0" fontId="5" fillId="33" borderId="30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5" fillId="33" borderId="28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5" fillId="33" borderId="30" xfId="0" applyFont="1" applyFill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3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4" fillId="34" borderId="28" xfId="0" applyFont="1" applyFill="1" applyBorder="1" applyAlignment="1">
      <alignment horizontal="left"/>
    </xf>
    <xf numFmtId="0" fontId="4" fillId="34" borderId="2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5" fillId="33" borderId="28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5"/>
  <sheetViews>
    <sheetView zoomScalePageLayoutView="0" workbookViewId="0" topLeftCell="A20">
      <selection activeCell="E32" sqref="E32"/>
    </sheetView>
  </sheetViews>
  <sheetFormatPr defaultColWidth="11.421875" defaultRowHeight="12.75"/>
  <cols>
    <col min="1" max="1" width="1.28515625" style="0" customWidth="1"/>
    <col min="2" max="2" width="31.28125" style="0" customWidth="1"/>
    <col min="3" max="3" width="32.8515625" style="0" customWidth="1"/>
    <col min="4" max="4" width="24.57421875" style="3" hidden="1" customWidth="1"/>
    <col min="5" max="5" width="15.00390625" style="3" customWidth="1"/>
  </cols>
  <sheetData>
    <row r="2" ht="12.75">
      <c r="B2" t="s">
        <v>4</v>
      </c>
    </row>
    <row r="3" ht="13.5" thickBot="1"/>
    <row r="4" spans="2:5" ht="13.5" thickBot="1">
      <c r="B4" s="91" t="s">
        <v>36</v>
      </c>
      <c r="C4" s="92"/>
      <c r="D4" s="92"/>
      <c r="E4" s="93"/>
    </row>
    <row r="5" spans="2:5" ht="13.5" thickBot="1">
      <c r="B5" s="94" t="s">
        <v>35</v>
      </c>
      <c r="C5" s="95"/>
      <c r="D5" s="95"/>
      <c r="E5" s="12" t="s">
        <v>7</v>
      </c>
    </row>
    <row r="6" spans="2:5" ht="17.25" customHeight="1" thickBot="1">
      <c r="B6" s="84" t="s">
        <v>6</v>
      </c>
      <c r="C6" s="85"/>
      <c r="D6" s="86"/>
      <c r="E6" s="13">
        <v>16000</v>
      </c>
    </row>
    <row r="7" spans="2:5" ht="17.25" customHeight="1" thickBot="1">
      <c r="B7" s="65" t="s">
        <v>5</v>
      </c>
      <c r="C7" s="66"/>
      <c r="D7" s="67"/>
      <c r="E7" s="13">
        <f>SUM(E8:E9)</f>
        <v>19200</v>
      </c>
    </row>
    <row r="8" spans="2:5" ht="26.25" customHeight="1">
      <c r="B8" s="68" t="s">
        <v>27</v>
      </c>
      <c r="C8" s="69"/>
      <c r="D8" s="4" t="s">
        <v>37</v>
      </c>
      <c r="E8" s="14">
        <v>11000</v>
      </c>
    </row>
    <row r="9" spans="2:5" ht="37.5" customHeight="1" thickBot="1">
      <c r="B9" s="70" t="s">
        <v>28</v>
      </c>
      <c r="C9" s="71"/>
      <c r="D9" s="5" t="s">
        <v>38</v>
      </c>
      <c r="E9" s="15">
        <v>8200</v>
      </c>
    </row>
    <row r="10" spans="2:5" ht="21" customHeight="1" thickBot="1">
      <c r="B10" s="72" t="s">
        <v>9</v>
      </c>
      <c r="C10" s="73"/>
      <c r="D10" s="74"/>
      <c r="E10" s="13">
        <f>SUM(E11:E12)</f>
        <v>46670</v>
      </c>
    </row>
    <row r="11" spans="2:5" ht="22.5">
      <c r="B11" s="79" t="s">
        <v>8</v>
      </c>
      <c r="C11" s="69"/>
      <c r="D11" s="4" t="s">
        <v>39</v>
      </c>
      <c r="E11" s="16">
        <v>40950</v>
      </c>
    </row>
    <row r="12" spans="2:5" ht="12.75" customHeight="1" thickBot="1">
      <c r="B12" s="80" t="s">
        <v>10</v>
      </c>
      <c r="C12" s="71"/>
      <c r="D12" s="5" t="s">
        <v>40</v>
      </c>
      <c r="E12" s="15">
        <v>5720</v>
      </c>
    </row>
    <row r="13" spans="2:5" ht="12.75" customHeight="1" thickBot="1">
      <c r="B13" s="72" t="s">
        <v>18</v>
      </c>
      <c r="C13" s="73"/>
      <c r="D13" s="74"/>
      <c r="E13" s="13">
        <f>SUM(E14:E19)</f>
        <v>163563</v>
      </c>
    </row>
    <row r="14" spans="2:5" ht="39.75" customHeight="1">
      <c r="B14" s="68" t="s">
        <v>29</v>
      </c>
      <c r="C14" s="69"/>
      <c r="D14" s="4" t="s">
        <v>41</v>
      </c>
      <c r="E14" s="16">
        <v>1300</v>
      </c>
    </row>
    <row r="15" spans="2:5" ht="57" customHeight="1">
      <c r="B15" s="75" t="s">
        <v>23</v>
      </c>
      <c r="C15" s="76"/>
      <c r="D15" s="6" t="s">
        <v>24</v>
      </c>
      <c r="E15" s="17">
        <v>1300</v>
      </c>
    </row>
    <row r="16" spans="2:5" ht="22.5">
      <c r="B16" s="77" t="s">
        <v>11</v>
      </c>
      <c r="C16" s="78"/>
      <c r="D16" s="6" t="s">
        <v>42</v>
      </c>
      <c r="E16" s="18">
        <v>9050</v>
      </c>
    </row>
    <row r="17" spans="2:5" ht="22.5">
      <c r="B17" s="77" t="s">
        <v>12</v>
      </c>
      <c r="C17" s="78"/>
      <c r="D17" s="6" t="s">
        <v>1</v>
      </c>
      <c r="E17" s="18">
        <v>400</v>
      </c>
    </row>
    <row r="18" spans="2:5" ht="22.5">
      <c r="B18" s="77" t="s">
        <v>13</v>
      </c>
      <c r="C18" s="78"/>
      <c r="D18" s="7" t="s">
        <v>43</v>
      </c>
      <c r="E18" s="17">
        <v>3630</v>
      </c>
    </row>
    <row r="19" spans="2:5" ht="23.25" thickBot="1">
      <c r="B19" s="70" t="s">
        <v>25</v>
      </c>
      <c r="C19" s="87"/>
      <c r="D19" s="5" t="s">
        <v>14</v>
      </c>
      <c r="E19" s="15">
        <v>147883</v>
      </c>
    </row>
    <row r="20" spans="2:5" ht="15.75" thickBot="1">
      <c r="B20" s="88" t="s">
        <v>15</v>
      </c>
      <c r="C20" s="89"/>
      <c r="D20" s="90"/>
      <c r="E20" s="13">
        <f>SUM(E21:E22)</f>
        <v>333450</v>
      </c>
    </row>
    <row r="21" spans="2:5" ht="22.5">
      <c r="B21" s="79" t="s">
        <v>16</v>
      </c>
      <c r="C21" s="69"/>
      <c r="D21" s="4" t="s">
        <v>44</v>
      </c>
      <c r="E21" s="14">
        <v>333050</v>
      </c>
    </row>
    <row r="22" spans="2:5" ht="45.75" thickBot="1">
      <c r="B22" s="80" t="s">
        <v>17</v>
      </c>
      <c r="C22" s="71"/>
      <c r="D22" s="8" t="s">
        <v>2</v>
      </c>
      <c r="E22" s="19">
        <v>400</v>
      </c>
    </row>
    <row r="23" spans="2:5" ht="42" customHeight="1" thickBot="1">
      <c r="B23" s="72" t="s">
        <v>19</v>
      </c>
      <c r="C23" s="73"/>
      <c r="D23" s="74"/>
      <c r="E23" s="20">
        <f>SUM(E24:E27)</f>
        <v>1409286.65</v>
      </c>
    </row>
    <row r="24" spans="2:5" ht="51">
      <c r="B24" s="68" t="s">
        <v>30</v>
      </c>
      <c r="C24" s="69"/>
      <c r="D24" s="9" t="s">
        <v>26</v>
      </c>
      <c r="E24" s="16">
        <f>446614.65+249300</f>
        <v>695914.65</v>
      </c>
    </row>
    <row r="25" spans="2:5" ht="27.75" customHeight="1">
      <c r="B25" s="75" t="s">
        <v>20</v>
      </c>
      <c r="C25" s="78"/>
      <c r="D25" s="7" t="s">
        <v>0</v>
      </c>
      <c r="E25" s="21">
        <v>277772</v>
      </c>
    </row>
    <row r="26" spans="2:5" ht="27.75" customHeight="1">
      <c r="B26" s="75" t="s">
        <v>21</v>
      </c>
      <c r="C26" s="78"/>
      <c r="D26" s="10" t="s">
        <v>45</v>
      </c>
      <c r="E26" s="18">
        <v>270000</v>
      </c>
    </row>
    <row r="27" spans="2:5" ht="25.5" customHeight="1" thickBot="1">
      <c r="B27" s="70" t="s">
        <v>22</v>
      </c>
      <c r="C27" s="71"/>
      <c r="D27" s="11" t="s">
        <v>3</v>
      </c>
      <c r="E27" s="15">
        <v>165600</v>
      </c>
    </row>
    <row r="28" spans="2:5" ht="13.5" thickBot="1">
      <c r="B28" s="81" t="s">
        <v>31</v>
      </c>
      <c r="C28" s="82"/>
      <c r="D28" s="83"/>
      <c r="E28" s="22">
        <f>E23+E20+E13+E10+E7+E6</f>
        <v>1988169.65</v>
      </c>
    </row>
    <row r="29" spans="2:5" ht="18.75" customHeight="1">
      <c r="B29" s="96" t="s">
        <v>32</v>
      </c>
      <c r="C29" s="97"/>
      <c r="D29" s="98"/>
      <c r="E29" s="23">
        <f>E28*0.06</f>
        <v>119290.17899999999</v>
      </c>
    </row>
    <row r="30" spans="2:5" ht="18.75" customHeight="1">
      <c r="B30" s="102" t="s">
        <v>85</v>
      </c>
      <c r="C30" s="103"/>
      <c r="D30" s="62"/>
      <c r="E30" s="63">
        <f>E28*0.03</f>
        <v>59645.089499999995</v>
      </c>
    </row>
    <row r="31" spans="2:5" ht="13.5" thickBot="1">
      <c r="B31" s="99" t="s">
        <v>33</v>
      </c>
      <c r="C31" s="100"/>
      <c r="D31" s="101"/>
      <c r="E31" s="24">
        <f>E28*0.01</f>
        <v>19881.6965</v>
      </c>
    </row>
    <row r="32" spans="2:5" ht="13.5" thickBot="1">
      <c r="B32" s="81" t="s">
        <v>34</v>
      </c>
      <c r="C32" s="82"/>
      <c r="D32" s="83"/>
      <c r="E32" s="25">
        <f>SUM(E28:E31)</f>
        <v>2186986.6149999998</v>
      </c>
    </row>
    <row r="36" ht="13.5" thickBot="1"/>
    <row r="37" spans="2:5" ht="13.5" thickBot="1">
      <c r="B37" s="91" t="s">
        <v>47</v>
      </c>
      <c r="C37" s="92"/>
      <c r="D37" s="92"/>
      <c r="E37" s="93"/>
    </row>
    <row r="38" spans="2:5" ht="13.5" thickBot="1">
      <c r="B38" s="94" t="s">
        <v>35</v>
      </c>
      <c r="C38" s="95"/>
      <c r="D38" s="95"/>
      <c r="E38" s="12" t="s">
        <v>7</v>
      </c>
    </row>
    <row r="39" spans="2:5" ht="13.5" thickBot="1">
      <c r="B39" s="84" t="s">
        <v>6</v>
      </c>
      <c r="C39" s="85"/>
      <c r="D39" s="86"/>
      <c r="E39" s="13">
        <v>16000</v>
      </c>
    </row>
    <row r="40" spans="2:5" ht="15.75" thickBot="1">
      <c r="B40" s="65" t="s">
        <v>5</v>
      </c>
      <c r="C40" s="66"/>
      <c r="D40" s="67"/>
      <c r="E40" s="13">
        <f>SUM(E41:E42)</f>
        <v>19200</v>
      </c>
    </row>
    <row r="41" spans="2:5" ht="14.25">
      <c r="B41" s="68" t="s">
        <v>27</v>
      </c>
      <c r="C41" s="69"/>
      <c r="D41" s="4" t="s">
        <v>37</v>
      </c>
      <c r="E41" s="14">
        <v>11000</v>
      </c>
    </row>
    <row r="42" spans="2:5" ht="15" thickBot="1">
      <c r="B42" s="70" t="s">
        <v>28</v>
      </c>
      <c r="C42" s="71"/>
      <c r="D42" s="5" t="s">
        <v>38</v>
      </c>
      <c r="E42" s="15">
        <v>8200</v>
      </c>
    </row>
    <row r="43" spans="2:5" ht="15.75" thickBot="1">
      <c r="B43" s="72" t="s">
        <v>9</v>
      </c>
      <c r="C43" s="73"/>
      <c r="D43" s="74"/>
      <c r="E43" s="13">
        <f>SUM(E44:E45)</f>
        <v>46670</v>
      </c>
    </row>
    <row r="44" spans="2:5" ht="22.5">
      <c r="B44" s="79" t="s">
        <v>8</v>
      </c>
      <c r="C44" s="69"/>
      <c r="D44" s="4" t="s">
        <v>39</v>
      </c>
      <c r="E44" s="16">
        <v>40950</v>
      </c>
    </row>
    <row r="45" spans="2:5" ht="15" thickBot="1">
      <c r="B45" s="80" t="s">
        <v>10</v>
      </c>
      <c r="C45" s="71"/>
      <c r="D45" s="5" t="s">
        <v>40</v>
      </c>
      <c r="E45" s="15">
        <v>5720</v>
      </c>
    </row>
    <row r="46" spans="2:5" ht="15.75" thickBot="1">
      <c r="B46" s="72" t="s">
        <v>18</v>
      </c>
      <c r="C46" s="73"/>
      <c r="D46" s="74"/>
      <c r="E46" s="13">
        <f>SUM(E47:E52)</f>
        <v>182263</v>
      </c>
    </row>
    <row r="47" spans="2:5" ht="33.75">
      <c r="B47" s="68" t="s">
        <v>29</v>
      </c>
      <c r="C47" s="69"/>
      <c r="D47" s="4" t="s">
        <v>41</v>
      </c>
      <c r="E47" s="16">
        <v>1300</v>
      </c>
    </row>
    <row r="48" spans="2:5" ht="14.25">
      <c r="B48" s="75" t="s">
        <v>46</v>
      </c>
      <c r="C48" s="76"/>
      <c r="D48" s="6" t="s">
        <v>53</v>
      </c>
      <c r="E48" s="17">
        <v>20000</v>
      </c>
    </row>
    <row r="49" spans="2:5" ht="22.5">
      <c r="B49" s="77" t="s">
        <v>11</v>
      </c>
      <c r="C49" s="78"/>
      <c r="D49" s="6" t="s">
        <v>42</v>
      </c>
      <c r="E49" s="18">
        <v>9050</v>
      </c>
    </row>
    <row r="50" spans="2:5" ht="22.5">
      <c r="B50" s="77" t="s">
        <v>12</v>
      </c>
      <c r="C50" s="78"/>
      <c r="D50" s="6" t="s">
        <v>1</v>
      </c>
      <c r="E50" s="18">
        <v>400</v>
      </c>
    </row>
    <row r="51" spans="2:5" ht="22.5">
      <c r="B51" s="77" t="s">
        <v>13</v>
      </c>
      <c r="C51" s="78"/>
      <c r="D51" s="7" t="s">
        <v>43</v>
      </c>
      <c r="E51" s="17">
        <v>3630</v>
      </c>
    </row>
    <row r="52" spans="2:5" ht="23.25" thickBot="1">
      <c r="B52" s="70" t="s">
        <v>25</v>
      </c>
      <c r="C52" s="87"/>
      <c r="D52" s="5" t="s">
        <v>14</v>
      </c>
      <c r="E52" s="15">
        <v>147883</v>
      </c>
    </row>
    <row r="53" spans="2:5" ht="15.75" thickBot="1">
      <c r="B53" s="88" t="s">
        <v>15</v>
      </c>
      <c r="C53" s="89"/>
      <c r="D53" s="90"/>
      <c r="E53" s="13">
        <f>SUM(E54:E55)</f>
        <v>333450</v>
      </c>
    </row>
    <row r="54" spans="2:5" ht="22.5">
      <c r="B54" s="79" t="s">
        <v>16</v>
      </c>
      <c r="C54" s="69"/>
      <c r="D54" s="4" t="s">
        <v>44</v>
      </c>
      <c r="E54" s="14">
        <v>333050</v>
      </c>
    </row>
    <row r="55" spans="2:5" ht="45.75" thickBot="1">
      <c r="B55" s="80" t="s">
        <v>17</v>
      </c>
      <c r="C55" s="71"/>
      <c r="D55" s="8" t="s">
        <v>2</v>
      </c>
      <c r="E55" s="19">
        <v>400</v>
      </c>
    </row>
    <row r="56" spans="2:5" ht="15.75" thickBot="1">
      <c r="B56" s="72" t="s">
        <v>19</v>
      </c>
      <c r="C56" s="73"/>
      <c r="D56" s="74"/>
      <c r="E56" s="20">
        <f>SUM(E57:E60)</f>
        <v>1409286.65</v>
      </c>
    </row>
    <row r="57" spans="2:5" ht="51">
      <c r="B57" s="68" t="s">
        <v>30</v>
      </c>
      <c r="C57" s="69"/>
      <c r="D57" s="9" t="s">
        <v>26</v>
      </c>
      <c r="E57" s="16">
        <f>446614.65+249300</f>
        <v>695914.65</v>
      </c>
    </row>
    <row r="58" spans="2:5" ht="14.25">
      <c r="B58" s="75" t="s">
        <v>20</v>
      </c>
      <c r="C58" s="78"/>
      <c r="D58" s="7" t="s">
        <v>0</v>
      </c>
      <c r="E58" s="21">
        <v>277772</v>
      </c>
    </row>
    <row r="59" spans="2:5" ht="14.25">
      <c r="B59" s="75" t="s">
        <v>21</v>
      </c>
      <c r="C59" s="78"/>
      <c r="D59" s="10" t="s">
        <v>45</v>
      </c>
      <c r="E59" s="18">
        <v>270000</v>
      </c>
    </row>
    <row r="60" spans="2:5" ht="15" thickBot="1">
      <c r="B60" s="70" t="s">
        <v>22</v>
      </c>
      <c r="C60" s="71"/>
      <c r="D60" s="11" t="s">
        <v>3</v>
      </c>
      <c r="E60" s="15">
        <v>165600</v>
      </c>
    </row>
    <row r="61" spans="2:5" ht="13.5" thickBot="1">
      <c r="B61" s="81" t="s">
        <v>31</v>
      </c>
      <c r="C61" s="82"/>
      <c r="D61" s="83"/>
      <c r="E61" s="22">
        <f>E56+E53+E46+E43+E40+E39</f>
        <v>2006869.65</v>
      </c>
    </row>
    <row r="62" spans="2:5" ht="12.75">
      <c r="B62" s="96" t="s">
        <v>32</v>
      </c>
      <c r="C62" s="97"/>
      <c r="D62" s="98"/>
      <c r="E62" s="23">
        <f>E61*0.06</f>
        <v>120412.17899999999</v>
      </c>
    </row>
    <row r="63" spans="2:5" ht="12.75">
      <c r="B63" s="102" t="s">
        <v>85</v>
      </c>
      <c r="C63" s="103"/>
      <c r="D63" s="62"/>
      <c r="E63" s="63">
        <f>E61*0.03</f>
        <v>60206.089499999995</v>
      </c>
    </row>
    <row r="64" spans="2:5" ht="13.5" thickBot="1">
      <c r="B64" s="99" t="s">
        <v>33</v>
      </c>
      <c r="C64" s="100"/>
      <c r="D64" s="101"/>
      <c r="E64" s="24">
        <f>E61*0.01</f>
        <v>20068.6965</v>
      </c>
    </row>
    <row r="65" spans="2:5" ht="13.5" thickBot="1">
      <c r="B65" s="81" t="s">
        <v>34</v>
      </c>
      <c r="C65" s="82"/>
      <c r="D65" s="83"/>
      <c r="E65" s="25">
        <f>SUM(E61:E64)</f>
        <v>2207556.6149999998</v>
      </c>
    </row>
  </sheetData>
  <sheetProtection/>
  <mergeCells count="58">
    <mergeCell ref="B30:C30"/>
    <mergeCell ref="B63:C63"/>
    <mergeCell ref="B65:D65"/>
    <mergeCell ref="B60:C60"/>
    <mergeCell ref="B61:D61"/>
    <mergeCell ref="B62:D62"/>
    <mergeCell ref="B64:D64"/>
    <mergeCell ref="B56:D56"/>
    <mergeCell ref="B57:C57"/>
    <mergeCell ref="B58:C58"/>
    <mergeCell ref="B59:C59"/>
    <mergeCell ref="B52:C52"/>
    <mergeCell ref="B53:D53"/>
    <mergeCell ref="B54:C54"/>
    <mergeCell ref="B55:C55"/>
    <mergeCell ref="B48:C48"/>
    <mergeCell ref="B49:C49"/>
    <mergeCell ref="B50:C50"/>
    <mergeCell ref="B51:C51"/>
    <mergeCell ref="B44:C44"/>
    <mergeCell ref="B45:C45"/>
    <mergeCell ref="B46:D46"/>
    <mergeCell ref="B47:C47"/>
    <mergeCell ref="B40:D40"/>
    <mergeCell ref="B41:C41"/>
    <mergeCell ref="B42:C42"/>
    <mergeCell ref="B43:D43"/>
    <mergeCell ref="B4:E4"/>
    <mergeCell ref="B37:E37"/>
    <mergeCell ref="B38:D38"/>
    <mergeCell ref="B39:D39"/>
    <mergeCell ref="B29:D29"/>
    <mergeCell ref="B31:D31"/>
    <mergeCell ref="B32:D32"/>
    <mergeCell ref="B5:D5"/>
    <mergeCell ref="B25:C25"/>
    <mergeCell ref="B26:C26"/>
    <mergeCell ref="B28:D28"/>
    <mergeCell ref="B22:C22"/>
    <mergeCell ref="B23:D23"/>
    <mergeCell ref="B6:D6"/>
    <mergeCell ref="B24:C24"/>
    <mergeCell ref="B18:C18"/>
    <mergeCell ref="B19:C19"/>
    <mergeCell ref="B20:D20"/>
    <mergeCell ref="B21:C21"/>
    <mergeCell ref="B16:C16"/>
    <mergeCell ref="B17:C17"/>
    <mergeCell ref="B11:C11"/>
    <mergeCell ref="B12:C12"/>
    <mergeCell ref="B13:D13"/>
    <mergeCell ref="B27:C27"/>
    <mergeCell ref="B7:D7"/>
    <mergeCell ref="B8:C8"/>
    <mergeCell ref="B9:C9"/>
    <mergeCell ref="B10:D10"/>
    <mergeCell ref="B14:C14"/>
    <mergeCell ref="B15:C1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zoomScale="85" zoomScaleNormal="85" zoomScalePageLayoutView="0" workbookViewId="0" topLeftCell="A46">
      <selection activeCell="G34" sqref="G34"/>
    </sheetView>
  </sheetViews>
  <sheetFormatPr defaultColWidth="11.421875" defaultRowHeight="12.75"/>
  <cols>
    <col min="1" max="1" width="36.7109375" style="0" customWidth="1"/>
    <col min="2" max="2" width="22.8515625" style="0" customWidth="1"/>
    <col min="3" max="3" width="15.57421875" style="0" customWidth="1"/>
    <col min="6" max="6" width="11.57421875" style="0" bestFit="1" customWidth="1"/>
    <col min="7" max="7" width="13.140625" style="0" bestFit="1" customWidth="1"/>
    <col min="8" max="8" width="11.57421875" style="0" bestFit="1" customWidth="1"/>
    <col min="11" max="11" width="11.57421875" style="0" bestFit="1" customWidth="1"/>
    <col min="13" max="13" width="13.140625" style="0" bestFit="1" customWidth="1"/>
  </cols>
  <sheetData>
    <row r="1" ht="13.5" thickBot="1"/>
    <row r="2" spans="1:11" ht="13.5" thickBot="1">
      <c r="A2" s="91" t="s">
        <v>52</v>
      </c>
      <c r="B2" s="92"/>
      <c r="C2" s="104"/>
      <c r="D2" s="1">
        <v>2009</v>
      </c>
      <c r="E2" s="1"/>
      <c r="F2" s="1"/>
      <c r="G2" s="1"/>
      <c r="H2" s="1">
        <v>2010</v>
      </c>
      <c r="I2" s="1"/>
      <c r="J2" s="1"/>
      <c r="K2" s="1"/>
    </row>
    <row r="3" spans="1:11" ht="13.5" thickBot="1">
      <c r="A3" s="94" t="s">
        <v>35</v>
      </c>
      <c r="B3" s="95"/>
      <c r="C3" s="26" t="s">
        <v>7</v>
      </c>
      <c r="D3" s="1" t="s">
        <v>48</v>
      </c>
      <c r="E3" s="1" t="s">
        <v>49</v>
      </c>
      <c r="F3" s="1" t="s">
        <v>50</v>
      </c>
      <c r="G3" s="1" t="s">
        <v>51</v>
      </c>
      <c r="H3" s="1" t="s">
        <v>48</v>
      </c>
      <c r="I3" s="1" t="s">
        <v>49</v>
      </c>
      <c r="J3" s="1" t="s">
        <v>50</v>
      </c>
      <c r="K3" s="1" t="s">
        <v>51</v>
      </c>
    </row>
    <row r="4" spans="1:13" ht="13.5" thickBot="1">
      <c r="A4" s="84" t="s">
        <v>6</v>
      </c>
      <c r="B4" s="85"/>
      <c r="C4" s="27">
        <v>16000</v>
      </c>
      <c r="D4" s="40">
        <f>C4</f>
        <v>16000</v>
      </c>
      <c r="E4" s="1"/>
      <c r="F4" s="1"/>
      <c r="G4" s="1"/>
      <c r="H4" s="1"/>
      <c r="I4" s="1"/>
      <c r="J4" s="1"/>
      <c r="K4" s="1"/>
      <c r="M4" s="2">
        <f>SUM(D4:K4)</f>
        <v>16000</v>
      </c>
    </row>
    <row r="5" spans="1:13" ht="15.75" thickBot="1">
      <c r="A5" s="65" t="s">
        <v>5</v>
      </c>
      <c r="B5" s="66"/>
      <c r="C5" s="27">
        <f>SUM(C6:C7)</f>
        <v>19200</v>
      </c>
      <c r="D5" s="27">
        <f aca="true" t="shared" si="0" ref="D5:K5">SUM(D6:D7)</f>
        <v>3300</v>
      </c>
      <c r="E5" s="27">
        <f t="shared" si="0"/>
        <v>7699.999999999999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4100</v>
      </c>
      <c r="J5" s="27">
        <f t="shared" si="0"/>
        <v>4100</v>
      </c>
      <c r="K5" s="27">
        <f t="shared" si="0"/>
        <v>0</v>
      </c>
      <c r="M5" s="2">
        <f>SUM(D5:K5)</f>
        <v>19200</v>
      </c>
    </row>
    <row r="6" spans="1:13" ht="14.25">
      <c r="A6" s="68" t="s">
        <v>27</v>
      </c>
      <c r="B6" s="69"/>
      <c r="C6" s="28">
        <v>11000</v>
      </c>
      <c r="D6" s="40">
        <f>C6*0.3</f>
        <v>3300</v>
      </c>
      <c r="E6" s="40">
        <f>C6*0.7</f>
        <v>7699.999999999999</v>
      </c>
      <c r="F6" s="1"/>
      <c r="G6" s="1"/>
      <c r="H6" s="1"/>
      <c r="I6" s="1"/>
      <c r="J6" s="1"/>
      <c r="K6" s="1"/>
      <c r="M6" s="2">
        <f aca="true" t="shared" si="1" ref="M6:M29">SUM(D6:K6)</f>
        <v>11000</v>
      </c>
    </row>
    <row r="7" spans="1:13" ht="15" thickBot="1">
      <c r="A7" s="70" t="s">
        <v>28</v>
      </c>
      <c r="B7" s="71"/>
      <c r="C7" s="29">
        <v>8200</v>
      </c>
      <c r="D7" s="1"/>
      <c r="E7" s="1"/>
      <c r="F7" s="1"/>
      <c r="G7" s="1"/>
      <c r="H7" s="1"/>
      <c r="I7" s="40">
        <f>C7*0.5</f>
        <v>4100</v>
      </c>
      <c r="J7" s="40">
        <f>I7</f>
        <v>4100</v>
      </c>
      <c r="K7" s="1"/>
      <c r="M7" s="2">
        <f t="shared" si="1"/>
        <v>8200</v>
      </c>
    </row>
    <row r="8" spans="1:13" ht="15.75" thickBot="1">
      <c r="A8" s="72" t="s">
        <v>9</v>
      </c>
      <c r="B8" s="73"/>
      <c r="C8" s="27">
        <f>SUM(C9:C10)</f>
        <v>46670</v>
      </c>
      <c r="D8" s="27">
        <f aca="true" t="shared" si="2" ref="D8:K8">SUM(D9:D10)</f>
        <v>0</v>
      </c>
      <c r="E8" s="27">
        <f t="shared" si="2"/>
        <v>0</v>
      </c>
      <c r="F8" s="27">
        <f t="shared" si="2"/>
        <v>2860</v>
      </c>
      <c r="G8" s="27">
        <f t="shared" si="2"/>
        <v>0</v>
      </c>
      <c r="H8" s="27">
        <f t="shared" si="2"/>
        <v>40950</v>
      </c>
      <c r="I8" s="27">
        <f t="shared" si="2"/>
        <v>2860</v>
      </c>
      <c r="J8" s="27">
        <f t="shared" si="2"/>
        <v>0</v>
      </c>
      <c r="K8" s="27">
        <f t="shared" si="2"/>
        <v>0</v>
      </c>
      <c r="M8" s="2">
        <f t="shared" si="1"/>
        <v>46670</v>
      </c>
    </row>
    <row r="9" spans="1:13" ht="14.25">
      <c r="A9" s="79" t="s">
        <v>8</v>
      </c>
      <c r="B9" s="69"/>
      <c r="C9" s="30">
        <v>40950</v>
      </c>
      <c r="D9" s="1"/>
      <c r="E9" s="1"/>
      <c r="F9" s="1"/>
      <c r="G9" s="1"/>
      <c r="H9" s="40">
        <f>C9</f>
        <v>40950</v>
      </c>
      <c r="I9" s="1"/>
      <c r="J9" s="1"/>
      <c r="K9" s="1"/>
      <c r="M9" s="2">
        <f t="shared" si="1"/>
        <v>40950</v>
      </c>
    </row>
    <row r="10" spans="1:13" ht="15" thickBot="1">
      <c r="A10" s="80" t="s">
        <v>10</v>
      </c>
      <c r="B10" s="71"/>
      <c r="C10" s="29">
        <v>5720</v>
      </c>
      <c r="D10" s="1"/>
      <c r="E10" s="1"/>
      <c r="F10" s="40">
        <f>C10*0.5</f>
        <v>2860</v>
      </c>
      <c r="G10" s="1"/>
      <c r="H10" s="1"/>
      <c r="I10" s="40">
        <f>F10</f>
        <v>2860</v>
      </c>
      <c r="J10" s="1"/>
      <c r="K10" s="1"/>
      <c r="M10" s="2">
        <f t="shared" si="1"/>
        <v>5720</v>
      </c>
    </row>
    <row r="11" spans="1:13" ht="15.75" thickBot="1">
      <c r="A11" s="72" t="s">
        <v>18</v>
      </c>
      <c r="B11" s="73"/>
      <c r="C11" s="27">
        <f>SUM(C12:C17)</f>
        <v>163563</v>
      </c>
      <c r="D11" s="27">
        <f aca="true" t="shared" si="3" ref="D11:K11">SUM(D12:D17)</f>
        <v>780</v>
      </c>
      <c r="E11" s="27">
        <f t="shared" si="3"/>
        <v>6892</v>
      </c>
      <c r="F11" s="27">
        <f t="shared" si="3"/>
        <v>8008</v>
      </c>
      <c r="G11" s="27">
        <f t="shared" si="3"/>
        <v>0</v>
      </c>
      <c r="H11" s="27">
        <f t="shared" si="3"/>
        <v>147883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M11" s="2">
        <f t="shared" si="1"/>
        <v>163563</v>
      </c>
    </row>
    <row r="12" spans="1:13" ht="14.25">
      <c r="A12" s="68" t="s">
        <v>29</v>
      </c>
      <c r="B12" s="69"/>
      <c r="C12" s="30">
        <v>1300</v>
      </c>
      <c r="D12" s="1"/>
      <c r="E12" s="40">
        <f>C12</f>
        <v>1300</v>
      </c>
      <c r="F12" s="1"/>
      <c r="G12" s="1"/>
      <c r="H12" s="1"/>
      <c r="I12" s="1"/>
      <c r="J12" s="1"/>
      <c r="K12" s="1"/>
      <c r="M12" s="2">
        <f t="shared" si="1"/>
        <v>1300</v>
      </c>
    </row>
    <row r="13" spans="1:13" ht="14.25">
      <c r="A13" s="75" t="s">
        <v>23</v>
      </c>
      <c r="B13" s="76"/>
      <c r="C13" s="31">
        <v>1300</v>
      </c>
      <c r="D13" s="40">
        <f>C13*0.6</f>
        <v>780</v>
      </c>
      <c r="E13" s="40">
        <f>C13*0.4</f>
        <v>520</v>
      </c>
      <c r="F13" s="1"/>
      <c r="G13" s="1"/>
      <c r="H13" s="1"/>
      <c r="I13" s="1"/>
      <c r="J13" s="1"/>
      <c r="K13" s="1"/>
      <c r="M13" s="2">
        <f t="shared" si="1"/>
        <v>1300</v>
      </c>
    </row>
    <row r="14" spans="1:13" ht="14.25">
      <c r="A14" s="77" t="s">
        <v>11</v>
      </c>
      <c r="B14" s="78"/>
      <c r="C14" s="32">
        <v>9050</v>
      </c>
      <c r="D14" s="1"/>
      <c r="E14" s="40">
        <f>C14*0.4</f>
        <v>3620</v>
      </c>
      <c r="F14" s="40">
        <f>C14*0.6</f>
        <v>5430</v>
      </c>
      <c r="G14" s="1"/>
      <c r="H14" s="1"/>
      <c r="I14" s="1"/>
      <c r="J14" s="1"/>
      <c r="K14" s="1"/>
      <c r="M14" s="2">
        <f t="shared" si="1"/>
        <v>9050</v>
      </c>
    </row>
    <row r="15" spans="1:13" ht="14.25">
      <c r="A15" s="77" t="s">
        <v>12</v>
      </c>
      <c r="B15" s="78"/>
      <c r="C15" s="32">
        <v>400</v>
      </c>
      <c r="D15" s="1"/>
      <c r="E15" s="1"/>
      <c r="F15" s="40">
        <f>C15</f>
        <v>400</v>
      </c>
      <c r="G15" s="1"/>
      <c r="H15" s="1"/>
      <c r="I15" s="1"/>
      <c r="J15" s="1"/>
      <c r="K15" s="1"/>
      <c r="M15" s="2">
        <f t="shared" si="1"/>
        <v>400</v>
      </c>
    </row>
    <row r="16" spans="1:13" ht="14.25">
      <c r="A16" s="77" t="s">
        <v>13</v>
      </c>
      <c r="B16" s="78"/>
      <c r="C16" s="31">
        <v>3630</v>
      </c>
      <c r="D16" s="1"/>
      <c r="E16" s="40">
        <f>C16*0.4</f>
        <v>1452</v>
      </c>
      <c r="F16" s="40">
        <f>C16*0.6</f>
        <v>2178</v>
      </c>
      <c r="G16" s="1"/>
      <c r="H16" s="1"/>
      <c r="I16" s="1"/>
      <c r="J16" s="1"/>
      <c r="K16" s="1"/>
      <c r="M16" s="2">
        <f t="shared" si="1"/>
        <v>3630</v>
      </c>
    </row>
    <row r="17" spans="1:13" ht="15" thickBot="1">
      <c r="A17" s="70" t="s">
        <v>25</v>
      </c>
      <c r="B17" s="87"/>
      <c r="C17" s="29">
        <v>147883</v>
      </c>
      <c r="D17" s="1"/>
      <c r="E17" s="1"/>
      <c r="F17" s="1"/>
      <c r="G17" s="1"/>
      <c r="H17" s="40">
        <f>C17</f>
        <v>147883</v>
      </c>
      <c r="I17" s="1"/>
      <c r="J17" s="1"/>
      <c r="K17" s="1"/>
      <c r="M17" s="2">
        <f t="shared" si="1"/>
        <v>147883</v>
      </c>
    </row>
    <row r="18" spans="1:13" ht="15.75" thickBot="1">
      <c r="A18" s="88" t="s">
        <v>15</v>
      </c>
      <c r="B18" s="89"/>
      <c r="C18" s="27">
        <f>SUM(C19:C20)</f>
        <v>333450</v>
      </c>
      <c r="D18" s="27">
        <f aca="true" t="shared" si="4" ref="D18:K18">SUM(D19:D20)</f>
        <v>0</v>
      </c>
      <c r="E18" s="27">
        <f t="shared" si="4"/>
        <v>0</v>
      </c>
      <c r="F18" s="27">
        <f t="shared" si="4"/>
        <v>0</v>
      </c>
      <c r="G18" s="27">
        <f t="shared" si="4"/>
        <v>333450</v>
      </c>
      <c r="H18" s="27">
        <f t="shared" si="4"/>
        <v>0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M18" s="2">
        <f t="shared" si="1"/>
        <v>333450</v>
      </c>
    </row>
    <row r="19" spans="1:13" ht="14.25">
      <c r="A19" s="79" t="s">
        <v>16</v>
      </c>
      <c r="B19" s="69"/>
      <c r="C19" s="28">
        <v>333050</v>
      </c>
      <c r="D19" s="1"/>
      <c r="E19" s="1"/>
      <c r="F19" s="1"/>
      <c r="G19" s="40">
        <f>C19</f>
        <v>333050</v>
      </c>
      <c r="H19" s="1"/>
      <c r="I19" s="1"/>
      <c r="J19" s="1"/>
      <c r="K19" s="1"/>
      <c r="M19" s="2">
        <f t="shared" si="1"/>
        <v>333050</v>
      </c>
    </row>
    <row r="20" spans="1:13" ht="15" thickBot="1">
      <c r="A20" s="80" t="s">
        <v>17</v>
      </c>
      <c r="B20" s="71"/>
      <c r="C20" s="33">
        <v>400</v>
      </c>
      <c r="D20" s="1"/>
      <c r="E20" s="1"/>
      <c r="F20" s="1"/>
      <c r="G20" s="40">
        <f>C20</f>
        <v>400</v>
      </c>
      <c r="H20" s="1"/>
      <c r="I20" s="1"/>
      <c r="J20" s="1"/>
      <c r="K20" s="1"/>
      <c r="M20" s="2">
        <f t="shared" si="1"/>
        <v>400</v>
      </c>
    </row>
    <row r="21" spans="1:13" ht="15.75" thickBot="1">
      <c r="A21" s="72" t="s">
        <v>19</v>
      </c>
      <c r="B21" s="73"/>
      <c r="C21" s="34">
        <f>SUM(C22:C25)</f>
        <v>1409286.65</v>
      </c>
      <c r="D21" s="34">
        <f aca="true" t="shared" si="5" ref="D21:K21">SUM(D22:D25)</f>
        <v>68471.5</v>
      </c>
      <c r="E21" s="34">
        <f t="shared" si="5"/>
        <v>101591.5</v>
      </c>
      <c r="F21" s="34">
        <f t="shared" si="5"/>
        <v>275570.1625</v>
      </c>
      <c r="G21" s="34">
        <f t="shared" si="5"/>
        <v>275570.1625</v>
      </c>
      <c r="H21" s="34">
        <f t="shared" si="5"/>
        <v>275570.1625</v>
      </c>
      <c r="I21" s="34">
        <f t="shared" si="5"/>
        <v>275570.1625</v>
      </c>
      <c r="J21" s="34">
        <f t="shared" si="5"/>
        <v>68471.5</v>
      </c>
      <c r="K21" s="34">
        <f t="shared" si="5"/>
        <v>68471.5</v>
      </c>
      <c r="M21" s="2">
        <f t="shared" si="1"/>
        <v>1409286.65</v>
      </c>
    </row>
    <row r="22" spans="1:13" ht="14.25">
      <c r="A22" s="68" t="s">
        <v>30</v>
      </c>
      <c r="B22" s="69"/>
      <c r="C22" s="30">
        <f>446614.65+249300</f>
        <v>695914.65</v>
      </c>
      <c r="D22" s="1"/>
      <c r="E22" s="1"/>
      <c r="F22" s="40">
        <f>C22/4</f>
        <v>173978.6625</v>
      </c>
      <c r="G22" s="40">
        <f>F22</f>
        <v>173978.6625</v>
      </c>
      <c r="H22" s="40">
        <f>G22</f>
        <v>173978.6625</v>
      </c>
      <c r="I22" s="40">
        <f>H22</f>
        <v>173978.6625</v>
      </c>
      <c r="J22" s="1"/>
      <c r="K22" s="1"/>
      <c r="M22" s="2">
        <f t="shared" si="1"/>
        <v>695914.65</v>
      </c>
    </row>
    <row r="23" spans="1:13" ht="14.25">
      <c r="A23" s="75" t="s">
        <v>20</v>
      </c>
      <c r="B23" s="78"/>
      <c r="C23" s="35">
        <v>277772</v>
      </c>
      <c r="D23" s="1">
        <f>C23/8</f>
        <v>34721.5</v>
      </c>
      <c r="E23" s="1">
        <f>D23</f>
        <v>34721.5</v>
      </c>
      <c r="F23" s="1">
        <f aca="true" t="shared" si="6" ref="F23:K23">E23</f>
        <v>34721.5</v>
      </c>
      <c r="G23" s="1">
        <f t="shared" si="6"/>
        <v>34721.5</v>
      </c>
      <c r="H23" s="1">
        <f t="shared" si="6"/>
        <v>34721.5</v>
      </c>
      <c r="I23" s="1">
        <f t="shared" si="6"/>
        <v>34721.5</v>
      </c>
      <c r="J23" s="1">
        <f t="shared" si="6"/>
        <v>34721.5</v>
      </c>
      <c r="K23" s="1">
        <f t="shared" si="6"/>
        <v>34721.5</v>
      </c>
      <c r="M23" s="2">
        <f t="shared" si="1"/>
        <v>277772</v>
      </c>
    </row>
    <row r="24" spans="1:13" ht="14.25">
      <c r="A24" s="75" t="s">
        <v>21</v>
      </c>
      <c r="B24" s="78"/>
      <c r="C24" s="32">
        <v>270000</v>
      </c>
      <c r="D24" s="40">
        <f>C24/8</f>
        <v>33750</v>
      </c>
      <c r="E24" s="40">
        <f>D24</f>
        <v>33750</v>
      </c>
      <c r="F24" s="40">
        <f aca="true" t="shared" si="7" ref="F24:K24">E24</f>
        <v>33750</v>
      </c>
      <c r="G24" s="40">
        <f t="shared" si="7"/>
        <v>33750</v>
      </c>
      <c r="H24" s="40">
        <f t="shared" si="7"/>
        <v>33750</v>
      </c>
      <c r="I24" s="40">
        <f t="shared" si="7"/>
        <v>33750</v>
      </c>
      <c r="J24" s="40">
        <f t="shared" si="7"/>
        <v>33750</v>
      </c>
      <c r="K24" s="40">
        <f t="shared" si="7"/>
        <v>33750</v>
      </c>
      <c r="M24" s="2">
        <f t="shared" si="1"/>
        <v>270000</v>
      </c>
    </row>
    <row r="25" spans="1:13" ht="15" thickBot="1">
      <c r="A25" s="70" t="s">
        <v>22</v>
      </c>
      <c r="B25" s="71"/>
      <c r="C25" s="29">
        <v>165600</v>
      </c>
      <c r="D25" s="1"/>
      <c r="E25" s="40">
        <f>C25*0.2</f>
        <v>33120</v>
      </c>
      <c r="F25" s="40">
        <f>E25</f>
        <v>33120</v>
      </c>
      <c r="G25" s="40">
        <f>F25</f>
        <v>33120</v>
      </c>
      <c r="H25" s="40">
        <f>G25</f>
        <v>33120</v>
      </c>
      <c r="I25" s="40">
        <f>H25</f>
        <v>33120</v>
      </c>
      <c r="J25" s="1"/>
      <c r="K25" s="1"/>
      <c r="M25" s="2">
        <f t="shared" si="1"/>
        <v>165600</v>
      </c>
    </row>
    <row r="26" spans="1:13" ht="13.5" thickBot="1">
      <c r="A26" s="81" t="s">
        <v>31</v>
      </c>
      <c r="B26" s="82"/>
      <c r="C26" s="36">
        <f>C21+C18+C11+C8+C5+C4</f>
        <v>1988169.65</v>
      </c>
      <c r="D26" s="36">
        <f aca="true" t="shared" si="8" ref="D26:K26">D21+D18+D11+D8+D5+D4</f>
        <v>88551.5</v>
      </c>
      <c r="E26" s="36">
        <f t="shared" si="8"/>
        <v>116183.5</v>
      </c>
      <c r="F26" s="36">
        <f t="shared" si="8"/>
        <v>286438.1625</v>
      </c>
      <c r="G26" s="36">
        <f t="shared" si="8"/>
        <v>609020.1625</v>
      </c>
      <c r="H26" s="36">
        <f t="shared" si="8"/>
        <v>464403.1625</v>
      </c>
      <c r="I26" s="36">
        <f t="shared" si="8"/>
        <v>282530.1625</v>
      </c>
      <c r="J26" s="36">
        <f t="shared" si="8"/>
        <v>72571.5</v>
      </c>
      <c r="K26" s="36">
        <f t="shared" si="8"/>
        <v>68471.5</v>
      </c>
      <c r="M26" s="2">
        <f t="shared" si="1"/>
        <v>1988169.65</v>
      </c>
    </row>
    <row r="27" spans="1:13" ht="12.75">
      <c r="A27" s="96" t="s">
        <v>32</v>
      </c>
      <c r="B27" s="97"/>
      <c r="C27" s="37">
        <f>C26*0.06</f>
        <v>119290.17899999999</v>
      </c>
      <c r="D27" s="37">
        <f aca="true" t="shared" si="9" ref="D27:K27">D26*0.06</f>
        <v>5313.09</v>
      </c>
      <c r="E27" s="37">
        <f t="shared" si="9"/>
        <v>6971.009999999999</v>
      </c>
      <c r="F27" s="37">
        <f t="shared" si="9"/>
        <v>17186.289749999996</v>
      </c>
      <c r="G27" s="37">
        <f t="shared" si="9"/>
        <v>36541.209749999995</v>
      </c>
      <c r="H27" s="37">
        <f t="shared" si="9"/>
        <v>27864.189749999998</v>
      </c>
      <c r="I27" s="37">
        <f t="shared" si="9"/>
        <v>16951.809749999997</v>
      </c>
      <c r="J27" s="37">
        <f t="shared" si="9"/>
        <v>4354.29</v>
      </c>
      <c r="K27" s="37">
        <f t="shared" si="9"/>
        <v>4108.29</v>
      </c>
      <c r="M27" s="2">
        <f t="shared" si="1"/>
        <v>119290.17899999996</v>
      </c>
    </row>
    <row r="28" spans="1:13" ht="12.75">
      <c r="A28" s="102" t="s">
        <v>85</v>
      </c>
      <c r="B28" s="105"/>
      <c r="C28" s="64">
        <f>C26*0.03</f>
        <v>59645.089499999995</v>
      </c>
      <c r="D28" s="64">
        <f aca="true" t="shared" si="10" ref="D28:K28">D26*0.03</f>
        <v>2656.545</v>
      </c>
      <c r="E28" s="64">
        <f t="shared" si="10"/>
        <v>3485.5049999999997</v>
      </c>
      <c r="F28" s="64">
        <f t="shared" si="10"/>
        <v>8593.144874999998</v>
      </c>
      <c r="G28" s="64">
        <f t="shared" si="10"/>
        <v>18270.604874999997</v>
      </c>
      <c r="H28" s="64">
        <f t="shared" si="10"/>
        <v>13932.094874999999</v>
      </c>
      <c r="I28" s="64">
        <f t="shared" si="10"/>
        <v>8475.904874999998</v>
      </c>
      <c r="J28" s="64">
        <f t="shared" si="10"/>
        <v>2177.145</v>
      </c>
      <c r="K28" s="64">
        <f t="shared" si="10"/>
        <v>2054.145</v>
      </c>
      <c r="M28" s="2"/>
    </row>
    <row r="29" spans="1:13" ht="13.5" thickBot="1">
      <c r="A29" s="99" t="s">
        <v>33</v>
      </c>
      <c r="B29" s="100"/>
      <c r="C29" s="38">
        <f>C26*0.01</f>
        <v>19881.6965</v>
      </c>
      <c r="D29" s="38">
        <f aca="true" t="shared" si="11" ref="D29:K29">D26*0.01</f>
        <v>885.515</v>
      </c>
      <c r="E29" s="38">
        <f t="shared" si="11"/>
        <v>1161.835</v>
      </c>
      <c r="F29" s="38">
        <f t="shared" si="11"/>
        <v>2864.381625</v>
      </c>
      <c r="G29" s="38">
        <f t="shared" si="11"/>
        <v>6090.201625</v>
      </c>
      <c r="H29" s="38">
        <f t="shared" si="11"/>
        <v>4644.031625</v>
      </c>
      <c r="I29" s="38">
        <f t="shared" si="11"/>
        <v>2825.3016249999996</v>
      </c>
      <c r="J29" s="38">
        <f t="shared" si="11"/>
        <v>725.715</v>
      </c>
      <c r="K29" s="38">
        <f t="shared" si="11"/>
        <v>684.715</v>
      </c>
      <c r="M29" s="2">
        <f t="shared" si="1"/>
        <v>19881.6965</v>
      </c>
    </row>
    <row r="30" spans="1:13" ht="13.5" thickBot="1">
      <c r="A30" s="81" t="s">
        <v>34</v>
      </c>
      <c r="B30" s="82"/>
      <c r="C30" s="39">
        <f>SUM(C26:C29)</f>
        <v>2186986.6149999998</v>
      </c>
      <c r="D30" s="39">
        <f aca="true" t="shared" si="12" ref="D30:K30">SUM(D26:D29)</f>
        <v>97406.65</v>
      </c>
      <c r="E30" s="39">
        <f t="shared" si="12"/>
        <v>127801.85</v>
      </c>
      <c r="F30" s="39">
        <f t="shared" si="12"/>
        <v>315081.97874999995</v>
      </c>
      <c r="G30" s="39">
        <f t="shared" si="12"/>
        <v>669922.17875</v>
      </c>
      <c r="H30" s="39">
        <f t="shared" si="12"/>
        <v>510843.47875</v>
      </c>
      <c r="I30" s="39">
        <f t="shared" si="12"/>
        <v>310783.17875</v>
      </c>
      <c r="J30" s="39">
        <f t="shared" si="12"/>
        <v>79828.65</v>
      </c>
      <c r="K30" s="39">
        <f t="shared" si="12"/>
        <v>75318.65</v>
      </c>
      <c r="M30" s="2">
        <f>SUM(D30:K30)</f>
        <v>2186986.6149999998</v>
      </c>
    </row>
    <row r="31" spans="7:11" ht="12.75">
      <c r="G31" s="2">
        <f>SUM(D30:G30)</f>
        <v>1210212.6575</v>
      </c>
      <c r="K31" s="2">
        <f>SUM(H30:K30)</f>
        <v>976773.9575</v>
      </c>
    </row>
    <row r="33" ht="13.5" thickBot="1"/>
    <row r="34" spans="1:11" ht="13.5" thickBot="1">
      <c r="A34" s="91" t="s">
        <v>86</v>
      </c>
      <c r="B34" s="92"/>
      <c r="C34" s="104"/>
      <c r="D34" s="1">
        <v>2009</v>
      </c>
      <c r="E34" s="1"/>
      <c r="F34" s="1"/>
      <c r="G34" s="1"/>
      <c r="H34" s="1">
        <v>2010</v>
      </c>
      <c r="I34" s="1"/>
      <c r="J34" s="1"/>
      <c r="K34" s="1"/>
    </row>
    <row r="35" spans="1:11" ht="13.5" thickBot="1">
      <c r="A35" s="94" t="s">
        <v>35</v>
      </c>
      <c r="B35" s="95"/>
      <c r="C35" s="26" t="s">
        <v>7</v>
      </c>
      <c r="D35" s="1" t="s">
        <v>48</v>
      </c>
      <c r="E35" s="1" t="s">
        <v>49</v>
      </c>
      <c r="F35" s="1" t="s">
        <v>50</v>
      </c>
      <c r="G35" s="1" t="s">
        <v>51</v>
      </c>
      <c r="H35" s="1" t="s">
        <v>48</v>
      </c>
      <c r="I35" s="1" t="s">
        <v>49</v>
      </c>
      <c r="J35" s="1" t="s">
        <v>50</v>
      </c>
      <c r="K35" s="1" t="s">
        <v>51</v>
      </c>
    </row>
    <row r="36" spans="1:11" ht="13.5" thickBot="1">
      <c r="A36" s="84" t="s">
        <v>6</v>
      </c>
      <c r="B36" s="85"/>
      <c r="C36" s="27">
        <v>16000</v>
      </c>
      <c r="D36" s="40">
        <f>C36</f>
        <v>16000</v>
      </c>
      <c r="E36" s="1"/>
      <c r="F36" s="1"/>
      <c r="G36" s="1"/>
      <c r="H36" s="1"/>
      <c r="I36" s="1"/>
      <c r="J36" s="1"/>
      <c r="K36" s="1"/>
    </row>
    <row r="37" spans="1:11" ht="15.75" thickBot="1">
      <c r="A37" s="65" t="s">
        <v>5</v>
      </c>
      <c r="B37" s="66"/>
      <c r="C37" s="27">
        <f aca="true" t="shared" si="13" ref="C37:K37">SUM(C38:C39)</f>
        <v>19200</v>
      </c>
      <c r="D37" s="27">
        <f t="shared" si="13"/>
        <v>3300</v>
      </c>
      <c r="E37" s="27">
        <f t="shared" si="13"/>
        <v>7699.999999999999</v>
      </c>
      <c r="F37" s="27">
        <f t="shared" si="13"/>
        <v>0</v>
      </c>
      <c r="G37" s="27">
        <f t="shared" si="13"/>
        <v>0</v>
      </c>
      <c r="H37" s="27">
        <f t="shared" si="13"/>
        <v>0</v>
      </c>
      <c r="I37" s="27">
        <f t="shared" si="13"/>
        <v>4100</v>
      </c>
      <c r="J37" s="27">
        <f t="shared" si="13"/>
        <v>4100</v>
      </c>
      <c r="K37" s="27">
        <f t="shared" si="13"/>
        <v>0</v>
      </c>
    </row>
    <row r="38" spans="1:11" ht="14.25">
      <c r="A38" s="68" t="s">
        <v>27</v>
      </c>
      <c r="B38" s="69"/>
      <c r="C38" s="28">
        <v>11000</v>
      </c>
      <c r="D38" s="40">
        <f>C38*0.3</f>
        <v>3300</v>
      </c>
      <c r="E38" s="40">
        <f>C38*0.7</f>
        <v>7699.999999999999</v>
      </c>
      <c r="F38" s="1"/>
      <c r="G38" s="1"/>
      <c r="H38" s="1"/>
      <c r="I38" s="1"/>
      <c r="J38" s="1"/>
      <c r="K38" s="1"/>
    </row>
    <row r="39" spans="1:11" ht="15" thickBot="1">
      <c r="A39" s="70" t="s">
        <v>28</v>
      </c>
      <c r="B39" s="71"/>
      <c r="C39" s="29">
        <v>8200</v>
      </c>
      <c r="D39" s="1"/>
      <c r="E39" s="1"/>
      <c r="F39" s="1"/>
      <c r="G39" s="1"/>
      <c r="H39" s="1"/>
      <c r="I39" s="40">
        <f>C39*0.5</f>
        <v>4100</v>
      </c>
      <c r="J39" s="40">
        <f>I39</f>
        <v>4100</v>
      </c>
      <c r="K39" s="1"/>
    </row>
    <row r="40" spans="1:11" ht="15.75" thickBot="1">
      <c r="A40" s="72" t="s">
        <v>9</v>
      </c>
      <c r="B40" s="73"/>
      <c r="C40" s="27">
        <f aca="true" t="shared" si="14" ref="C40:K40">SUM(C41:C42)</f>
        <v>46670</v>
      </c>
      <c r="D40" s="27">
        <f t="shared" si="14"/>
        <v>0</v>
      </c>
      <c r="E40" s="27">
        <f t="shared" si="14"/>
        <v>0</v>
      </c>
      <c r="F40" s="27">
        <f t="shared" si="14"/>
        <v>2860</v>
      </c>
      <c r="G40" s="27">
        <f t="shared" si="14"/>
        <v>0</v>
      </c>
      <c r="H40" s="27">
        <f t="shared" si="14"/>
        <v>40950</v>
      </c>
      <c r="I40" s="27">
        <f t="shared" si="14"/>
        <v>2860</v>
      </c>
      <c r="J40" s="27">
        <f t="shared" si="14"/>
        <v>0</v>
      </c>
      <c r="K40" s="27">
        <f t="shared" si="14"/>
        <v>0</v>
      </c>
    </row>
    <row r="41" spans="1:11" ht="14.25">
      <c r="A41" s="79" t="s">
        <v>8</v>
      </c>
      <c r="B41" s="69"/>
      <c r="C41" s="30">
        <v>40950</v>
      </c>
      <c r="D41" s="1"/>
      <c r="E41" s="1"/>
      <c r="F41" s="1"/>
      <c r="G41" s="1"/>
      <c r="H41" s="40">
        <f>C41</f>
        <v>40950</v>
      </c>
      <c r="I41" s="1"/>
      <c r="J41" s="1"/>
      <c r="K41" s="1"/>
    </row>
    <row r="42" spans="1:11" ht="15" thickBot="1">
      <c r="A42" s="80" t="s">
        <v>10</v>
      </c>
      <c r="B42" s="71"/>
      <c r="C42" s="29">
        <v>5720</v>
      </c>
      <c r="D42" s="1"/>
      <c r="E42" s="1"/>
      <c r="F42" s="40">
        <f>C42*0.5</f>
        <v>2860</v>
      </c>
      <c r="G42" s="1"/>
      <c r="H42" s="1"/>
      <c r="I42" s="40">
        <f>F42</f>
        <v>2860</v>
      </c>
      <c r="J42" s="1"/>
      <c r="K42" s="1"/>
    </row>
    <row r="43" spans="1:11" ht="15.75" thickBot="1">
      <c r="A43" s="72" t="s">
        <v>18</v>
      </c>
      <c r="B43" s="73"/>
      <c r="C43" s="27">
        <f aca="true" t="shared" si="15" ref="C43:K43">SUM(C44:C49)</f>
        <v>182263</v>
      </c>
      <c r="D43" s="27">
        <f t="shared" si="15"/>
        <v>0</v>
      </c>
      <c r="E43" s="27">
        <f t="shared" si="15"/>
        <v>26372</v>
      </c>
      <c r="F43" s="27">
        <f t="shared" si="15"/>
        <v>8008</v>
      </c>
      <c r="G43" s="27">
        <f t="shared" si="15"/>
        <v>0</v>
      </c>
      <c r="H43" s="27">
        <f t="shared" si="15"/>
        <v>147883</v>
      </c>
      <c r="I43" s="27">
        <f t="shared" si="15"/>
        <v>0</v>
      </c>
      <c r="J43" s="27">
        <f t="shared" si="15"/>
        <v>0</v>
      </c>
      <c r="K43" s="27">
        <f t="shared" si="15"/>
        <v>0</v>
      </c>
    </row>
    <row r="44" spans="1:11" ht="14.25">
      <c r="A44" s="68" t="s">
        <v>29</v>
      </c>
      <c r="B44" s="69"/>
      <c r="C44" s="30">
        <v>1300</v>
      </c>
      <c r="D44" s="1"/>
      <c r="E44" s="40">
        <f>C44</f>
        <v>1300</v>
      </c>
      <c r="F44" s="1"/>
      <c r="G44" s="1"/>
      <c r="H44" s="1"/>
      <c r="I44" s="1"/>
      <c r="J44" s="1"/>
      <c r="K44" s="1"/>
    </row>
    <row r="45" spans="1:11" ht="14.25">
      <c r="A45" s="75" t="s">
        <v>46</v>
      </c>
      <c r="B45" s="76"/>
      <c r="C45" s="17">
        <v>20000</v>
      </c>
      <c r="D45" s="40"/>
      <c r="E45" s="40">
        <f>C45</f>
        <v>20000</v>
      </c>
      <c r="F45" s="1"/>
      <c r="G45" s="1"/>
      <c r="H45" s="1"/>
      <c r="I45" s="1"/>
      <c r="J45" s="1"/>
      <c r="K45" s="1"/>
    </row>
    <row r="46" spans="1:11" ht="14.25">
      <c r="A46" s="77" t="s">
        <v>11</v>
      </c>
      <c r="B46" s="78"/>
      <c r="C46" s="32">
        <v>9050</v>
      </c>
      <c r="D46" s="1"/>
      <c r="E46" s="40">
        <f>C46*0.4</f>
        <v>3620</v>
      </c>
      <c r="F46" s="40">
        <f>C46*0.6</f>
        <v>5430</v>
      </c>
      <c r="G46" s="1"/>
      <c r="H46" s="1"/>
      <c r="I46" s="1"/>
      <c r="J46" s="1"/>
      <c r="K46" s="1"/>
    </row>
    <row r="47" spans="1:11" ht="14.25">
      <c r="A47" s="77" t="s">
        <v>12</v>
      </c>
      <c r="B47" s="78"/>
      <c r="C47" s="32">
        <v>400</v>
      </c>
      <c r="D47" s="1"/>
      <c r="E47" s="1"/>
      <c r="F47" s="40">
        <f>C47</f>
        <v>400</v>
      </c>
      <c r="G47" s="1"/>
      <c r="H47" s="1"/>
      <c r="I47" s="1"/>
      <c r="J47" s="1"/>
      <c r="K47" s="1"/>
    </row>
    <row r="48" spans="1:11" ht="14.25">
      <c r="A48" s="77" t="s">
        <v>13</v>
      </c>
      <c r="B48" s="78"/>
      <c r="C48" s="31">
        <v>3630</v>
      </c>
      <c r="D48" s="1"/>
      <c r="E48" s="40">
        <f>C48*0.4</f>
        <v>1452</v>
      </c>
      <c r="F48" s="40">
        <f>C48*0.6</f>
        <v>2178</v>
      </c>
      <c r="G48" s="1"/>
      <c r="H48" s="1"/>
      <c r="I48" s="1"/>
      <c r="J48" s="1"/>
      <c r="K48" s="1"/>
    </row>
    <row r="49" spans="1:11" ht="15" thickBot="1">
      <c r="A49" s="70" t="s">
        <v>25</v>
      </c>
      <c r="B49" s="87"/>
      <c r="C49" s="29">
        <v>147883</v>
      </c>
      <c r="D49" s="1"/>
      <c r="E49" s="1"/>
      <c r="F49" s="1"/>
      <c r="G49" s="1"/>
      <c r="H49" s="40">
        <f>C49</f>
        <v>147883</v>
      </c>
      <c r="I49" s="1"/>
      <c r="J49" s="1"/>
      <c r="K49" s="1"/>
    </row>
    <row r="50" spans="1:11" ht="15.75" thickBot="1">
      <c r="A50" s="88" t="s">
        <v>15</v>
      </c>
      <c r="B50" s="89"/>
      <c r="C50" s="27">
        <f aca="true" t="shared" si="16" ref="C50:K50">SUM(C51:C52)</f>
        <v>333450</v>
      </c>
      <c r="D50" s="27">
        <f t="shared" si="16"/>
        <v>0</v>
      </c>
      <c r="E50" s="27">
        <f t="shared" si="16"/>
        <v>0</v>
      </c>
      <c r="F50" s="27">
        <f t="shared" si="16"/>
        <v>0</v>
      </c>
      <c r="G50" s="27">
        <f t="shared" si="16"/>
        <v>333450</v>
      </c>
      <c r="H50" s="27">
        <f t="shared" si="16"/>
        <v>0</v>
      </c>
      <c r="I50" s="27">
        <f t="shared" si="16"/>
        <v>0</v>
      </c>
      <c r="J50" s="27">
        <f t="shared" si="16"/>
        <v>0</v>
      </c>
      <c r="K50" s="27">
        <f t="shared" si="16"/>
        <v>0</v>
      </c>
    </row>
    <row r="51" spans="1:11" ht="14.25">
      <c r="A51" s="79" t="s">
        <v>16</v>
      </c>
      <c r="B51" s="69"/>
      <c r="C51" s="28">
        <v>333050</v>
      </c>
      <c r="D51" s="1"/>
      <c r="E51" s="1"/>
      <c r="F51" s="1"/>
      <c r="G51" s="40">
        <f>C51</f>
        <v>333050</v>
      </c>
      <c r="H51" s="1"/>
      <c r="I51" s="1"/>
      <c r="J51" s="1"/>
      <c r="K51" s="1"/>
    </row>
    <row r="52" spans="1:11" ht="15" thickBot="1">
      <c r="A52" s="80" t="s">
        <v>17</v>
      </c>
      <c r="B52" s="71"/>
      <c r="C52" s="33">
        <v>400</v>
      </c>
      <c r="D52" s="1"/>
      <c r="E52" s="1"/>
      <c r="F52" s="1"/>
      <c r="G52" s="40">
        <f>C52</f>
        <v>400</v>
      </c>
      <c r="H52" s="1"/>
      <c r="I52" s="1"/>
      <c r="J52" s="1"/>
      <c r="K52" s="1"/>
    </row>
    <row r="53" spans="1:11" ht="15.75" thickBot="1">
      <c r="A53" s="72" t="s">
        <v>19</v>
      </c>
      <c r="B53" s="73"/>
      <c r="C53" s="34">
        <f aca="true" t="shared" si="17" ref="C53:K53">SUM(C54:C57)</f>
        <v>1409286.65</v>
      </c>
      <c r="D53" s="34">
        <f t="shared" si="17"/>
        <v>68471.5</v>
      </c>
      <c r="E53" s="34">
        <f t="shared" si="17"/>
        <v>101591.5</v>
      </c>
      <c r="F53" s="34">
        <f t="shared" si="17"/>
        <v>275570.1625</v>
      </c>
      <c r="G53" s="34">
        <f t="shared" si="17"/>
        <v>275570.1625</v>
      </c>
      <c r="H53" s="34">
        <f t="shared" si="17"/>
        <v>275570.1625</v>
      </c>
      <c r="I53" s="34">
        <f t="shared" si="17"/>
        <v>275570.1625</v>
      </c>
      <c r="J53" s="34">
        <f t="shared" si="17"/>
        <v>68471.5</v>
      </c>
      <c r="K53" s="34">
        <f t="shared" si="17"/>
        <v>68471.5</v>
      </c>
    </row>
    <row r="54" spans="1:11" ht="14.25">
      <c r="A54" s="68" t="s">
        <v>30</v>
      </c>
      <c r="B54" s="69"/>
      <c r="C54" s="30">
        <f>446614.65+249300</f>
        <v>695914.65</v>
      </c>
      <c r="D54" s="1"/>
      <c r="E54" s="1"/>
      <c r="F54" s="40">
        <f>C54/4</f>
        <v>173978.6625</v>
      </c>
      <c r="G54" s="40">
        <f>F54</f>
        <v>173978.6625</v>
      </c>
      <c r="H54" s="40">
        <f>G54</f>
        <v>173978.6625</v>
      </c>
      <c r="I54" s="40">
        <f>H54</f>
        <v>173978.6625</v>
      </c>
      <c r="J54" s="1"/>
      <c r="K54" s="1"/>
    </row>
    <row r="55" spans="1:11" ht="14.25">
      <c r="A55" s="75" t="s">
        <v>20</v>
      </c>
      <c r="B55" s="78"/>
      <c r="C55" s="35">
        <v>277772</v>
      </c>
      <c r="D55" s="1">
        <f>C55/8</f>
        <v>34721.5</v>
      </c>
      <c r="E55" s="1">
        <f>D55</f>
        <v>34721.5</v>
      </c>
      <c r="F55" s="1">
        <f aca="true" t="shared" si="18" ref="F55:K55">E55</f>
        <v>34721.5</v>
      </c>
      <c r="G55" s="1">
        <f t="shared" si="18"/>
        <v>34721.5</v>
      </c>
      <c r="H55" s="1">
        <f t="shared" si="18"/>
        <v>34721.5</v>
      </c>
      <c r="I55" s="1">
        <f t="shared" si="18"/>
        <v>34721.5</v>
      </c>
      <c r="J55" s="1">
        <f t="shared" si="18"/>
        <v>34721.5</v>
      </c>
      <c r="K55" s="1">
        <f t="shared" si="18"/>
        <v>34721.5</v>
      </c>
    </row>
    <row r="56" spans="1:11" ht="14.25">
      <c r="A56" s="75" t="s">
        <v>21</v>
      </c>
      <c r="B56" s="78"/>
      <c r="C56" s="32">
        <v>270000</v>
      </c>
      <c r="D56" s="40">
        <f>C56/8</f>
        <v>33750</v>
      </c>
      <c r="E56" s="40">
        <f>D56</f>
        <v>33750</v>
      </c>
      <c r="F56" s="40">
        <f aca="true" t="shared" si="19" ref="F56:K56">E56</f>
        <v>33750</v>
      </c>
      <c r="G56" s="40">
        <f t="shared" si="19"/>
        <v>33750</v>
      </c>
      <c r="H56" s="40">
        <f t="shared" si="19"/>
        <v>33750</v>
      </c>
      <c r="I56" s="40">
        <f t="shared" si="19"/>
        <v>33750</v>
      </c>
      <c r="J56" s="40">
        <f t="shared" si="19"/>
        <v>33750</v>
      </c>
      <c r="K56" s="40">
        <f t="shared" si="19"/>
        <v>33750</v>
      </c>
    </row>
    <row r="57" spans="1:11" ht="15" thickBot="1">
      <c r="A57" s="70" t="s">
        <v>22</v>
      </c>
      <c r="B57" s="71"/>
      <c r="C57" s="29">
        <v>165600</v>
      </c>
      <c r="D57" s="1"/>
      <c r="E57" s="40">
        <f>C57*0.2</f>
        <v>33120</v>
      </c>
      <c r="F57" s="40">
        <f>E57</f>
        <v>33120</v>
      </c>
      <c r="G57" s="40">
        <f>F57</f>
        <v>33120</v>
      </c>
      <c r="H57" s="40">
        <f>G57</f>
        <v>33120</v>
      </c>
      <c r="I57" s="40">
        <f>H57</f>
        <v>33120</v>
      </c>
      <c r="J57" s="1"/>
      <c r="K57" s="1"/>
    </row>
    <row r="58" spans="1:11" ht="13.5" thickBot="1">
      <c r="A58" s="81" t="s">
        <v>31</v>
      </c>
      <c r="B58" s="82"/>
      <c r="C58" s="36">
        <f>C53+C50+C43+C40+C37+C36</f>
        <v>2006869.65</v>
      </c>
      <c r="D58" s="36">
        <f aca="true" t="shared" si="20" ref="D58:K58">D53+D50+D43+D40+D37+D36</f>
        <v>87771.5</v>
      </c>
      <c r="E58" s="36">
        <f t="shared" si="20"/>
        <v>135663.5</v>
      </c>
      <c r="F58" s="36">
        <f t="shared" si="20"/>
        <v>286438.1625</v>
      </c>
      <c r="G58" s="36">
        <f t="shared" si="20"/>
        <v>609020.1625</v>
      </c>
      <c r="H58" s="36">
        <f t="shared" si="20"/>
        <v>464403.1625</v>
      </c>
      <c r="I58" s="36">
        <f t="shared" si="20"/>
        <v>282530.1625</v>
      </c>
      <c r="J58" s="36">
        <f t="shared" si="20"/>
        <v>72571.5</v>
      </c>
      <c r="K58" s="36">
        <f t="shared" si="20"/>
        <v>68471.5</v>
      </c>
    </row>
    <row r="59" spans="1:11" ht="12.75">
      <c r="A59" s="96" t="s">
        <v>32</v>
      </c>
      <c r="B59" s="97"/>
      <c r="C59" s="37">
        <f aca="true" t="shared" si="21" ref="C59:K59">C58*0.06</f>
        <v>120412.17899999999</v>
      </c>
      <c r="D59" s="37">
        <f t="shared" si="21"/>
        <v>5266.29</v>
      </c>
      <c r="E59" s="37">
        <f t="shared" si="21"/>
        <v>8139.8099999999995</v>
      </c>
      <c r="F59" s="37">
        <f t="shared" si="21"/>
        <v>17186.289749999996</v>
      </c>
      <c r="G59" s="37">
        <f t="shared" si="21"/>
        <v>36541.209749999995</v>
      </c>
      <c r="H59" s="37">
        <f t="shared" si="21"/>
        <v>27864.189749999998</v>
      </c>
      <c r="I59" s="37">
        <f t="shared" si="21"/>
        <v>16951.809749999997</v>
      </c>
      <c r="J59" s="37">
        <f t="shared" si="21"/>
        <v>4354.29</v>
      </c>
      <c r="K59" s="37">
        <f t="shared" si="21"/>
        <v>4108.29</v>
      </c>
    </row>
    <row r="60" spans="1:11" ht="12.75">
      <c r="A60" s="96" t="s">
        <v>85</v>
      </c>
      <c r="B60" s="97"/>
      <c r="C60" s="37">
        <f>C58*0.03</f>
        <v>60206.089499999995</v>
      </c>
      <c r="D60" s="37">
        <f aca="true" t="shared" si="22" ref="D60:K60">D58*0.03</f>
        <v>2633.145</v>
      </c>
      <c r="E60" s="37">
        <f t="shared" si="22"/>
        <v>4069.9049999999997</v>
      </c>
      <c r="F60" s="37">
        <f t="shared" si="22"/>
        <v>8593.144874999998</v>
      </c>
      <c r="G60" s="37">
        <f t="shared" si="22"/>
        <v>18270.604874999997</v>
      </c>
      <c r="H60" s="37">
        <f t="shared" si="22"/>
        <v>13932.094874999999</v>
      </c>
      <c r="I60" s="37">
        <f t="shared" si="22"/>
        <v>8475.904874999998</v>
      </c>
      <c r="J60" s="37">
        <f t="shared" si="22"/>
        <v>2177.145</v>
      </c>
      <c r="K60" s="37">
        <f t="shared" si="22"/>
        <v>2054.145</v>
      </c>
    </row>
    <row r="61" spans="1:11" ht="13.5" thickBot="1">
      <c r="A61" s="99" t="s">
        <v>33</v>
      </c>
      <c r="B61" s="100"/>
      <c r="C61" s="38">
        <f>C58*0.01</f>
        <v>20068.6965</v>
      </c>
      <c r="D61" s="38">
        <f aca="true" t="shared" si="23" ref="D61:K61">D58*0.01</f>
        <v>877.715</v>
      </c>
      <c r="E61" s="38">
        <f t="shared" si="23"/>
        <v>1356.635</v>
      </c>
      <c r="F61" s="38">
        <f t="shared" si="23"/>
        <v>2864.381625</v>
      </c>
      <c r="G61" s="38">
        <f t="shared" si="23"/>
        <v>6090.201625</v>
      </c>
      <c r="H61" s="38">
        <f t="shared" si="23"/>
        <v>4644.031625</v>
      </c>
      <c r="I61" s="38">
        <f t="shared" si="23"/>
        <v>2825.3016249999996</v>
      </c>
      <c r="J61" s="38">
        <f t="shared" si="23"/>
        <v>725.715</v>
      </c>
      <c r="K61" s="38">
        <f t="shared" si="23"/>
        <v>684.715</v>
      </c>
    </row>
    <row r="62" spans="1:11" ht="13.5" thickBot="1">
      <c r="A62" s="81" t="s">
        <v>34</v>
      </c>
      <c r="B62" s="82"/>
      <c r="C62" s="39">
        <f aca="true" t="shared" si="24" ref="C62:K62">SUM(C58:C61)</f>
        <v>2207556.6149999998</v>
      </c>
      <c r="D62" s="39">
        <f t="shared" si="24"/>
        <v>96548.65</v>
      </c>
      <c r="E62" s="39">
        <f t="shared" si="24"/>
        <v>149229.85</v>
      </c>
      <c r="F62" s="39">
        <f t="shared" si="24"/>
        <v>315081.97874999995</v>
      </c>
      <c r="G62" s="39">
        <f t="shared" si="24"/>
        <v>669922.17875</v>
      </c>
      <c r="H62" s="39">
        <f t="shared" si="24"/>
        <v>510843.47875</v>
      </c>
      <c r="I62" s="39">
        <f t="shared" si="24"/>
        <v>310783.17875</v>
      </c>
      <c r="J62" s="39">
        <f t="shared" si="24"/>
        <v>79828.65</v>
      </c>
      <c r="K62" s="39">
        <f t="shared" si="24"/>
        <v>75318.65</v>
      </c>
    </row>
    <row r="63" spans="7:11" ht="12.75">
      <c r="G63" s="2">
        <f>SUM(D62:G62)</f>
        <v>1230782.6575</v>
      </c>
      <c r="K63" s="2">
        <f>SUM(H62:K62)</f>
        <v>976773.9575</v>
      </c>
    </row>
  </sheetData>
  <sheetProtection/>
  <mergeCells count="58">
    <mergeCell ref="A58:B58"/>
    <mergeCell ref="A59:B59"/>
    <mergeCell ref="A61:B61"/>
    <mergeCell ref="A62:B62"/>
    <mergeCell ref="A60:B60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C34"/>
    <mergeCell ref="A35:B35"/>
    <mergeCell ref="A36:B36"/>
    <mergeCell ref="A37:B37"/>
    <mergeCell ref="A26:B26"/>
    <mergeCell ref="A27:B27"/>
    <mergeCell ref="A29:B29"/>
    <mergeCell ref="A30:B30"/>
    <mergeCell ref="A28:B28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2:C2"/>
    <mergeCell ref="A3:B3"/>
    <mergeCell ref="A4:B4"/>
    <mergeCell ref="A5:B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2"/>
  <sheetViews>
    <sheetView zoomScale="85" zoomScaleNormal="85" zoomScalePageLayoutView="0" workbookViewId="0" topLeftCell="A52">
      <selection activeCell="F65" sqref="F65"/>
    </sheetView>
  </sheetViews>
  <sheetFormatPr defaultColWidth="11.421875" defaultRowHeight="12.75"/>
  <cols>
    <col min="2" max="2" width="49.140625" style="0" customWidth="1"/>
    <col min="3" max="3" width="27.421875" style="0" customWidth="1"/>
    <col min="4" max="4" width="14.57421875" style="0" customWidth="1"/>
    <col min="8" max="8" width="13.140625" style="0" bestFit="1" customWidth="1"/>
    <col min="12" max="12" width="11.57421875" style="0" bestFit="1" customWidth="1"/>
    <col min="13" max="13" width="18.00390625" style="0" customWidth="1"/>
  </cols>
  <sheetData>
    <row r="1" ht="13.5" thickBot="1"/>
    <row r="2" spans="1:13" ht="13.5" thickBot="1">
      <c r="A2" s="91" t="s">
        <v>36</v>
      </c>
      <c r="B2" s="92"/>
      <c r="C2" s="92"/>
      <c r="D2" s="93"/>
      <c r="E2" s="1">
        <v>2009</v>
      </c>
      <c r="F2" s="1"/>
      <c r="G2" s="1"/>
      <c r="H2" s="1"/>
      <c r="I2" s="1">
        <v>2010</v>
      </c>
      <c r="J2" s="1"/>
      <c r="K2" s="1"/>
      <c r="L2" s="1"/>
      <c r="M2" t="s">
        <v>80</v>
      </c>
    </row>
    <row r="3" spans="1:12" ht="13.5" thickBot="1">
      <c r="A3" s="94" t="s">
        <v>35</v>
      </c>
      <c r="B3" s="95"/>
      <c r="C3" s="95"/>
      <c r="D3" s="12" t="s">
        <v>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48</v>
      </c>
      <c r="J3" s="1" t="s">
        <v>49</v>
      </c>
      <c r="K3" s="1" t="s">
        <v>50</v>
      </c>
      <c r="L3" s="1" t="s">
        <v>51</v>
      </c>
    </row>
    <row r="4" spans="1:13" ht="13.5" thickBot="1">
      <c r="A4" s="84" t="s">
        <v>6</v>
      </c>
      <c r="B4" s="85"/>
      <c r="C4" s="86"/>
      <c r="D4" s="13">
        <v>14544</v>
      </c>
      <c r="E4" s="40">
        <f>D4</f>
        <v>14544</v>
      </c>
      <c r="F4" s="1"/>
      <c r="G4" s="1"/>
      <c r="H4" s="1"/>
      <c r="I4" s="1"/>
      <c r="J4" s="1"/>
      <c r="K4" s="1"/>
      <c r="L4" s="1"/>
      <c r="M4" s="54">
        <f>SUM(E4:L4)</f>
        <v>14544</v>
      </c>
    </row>
    <row r="5" spans="1:13" ht="15.75" thickBot="1">
      <c r="A5" s="65" t="s">
        <v>5</v>
      </c>
      <c r="B5" s="66"/>
      <c r="C5" s="67"/>
      <c r="D5" s="13">
        <f>SUM(D6:D7)</f>
        <v>16128</v>
      </c>
      <c r="E5" s="27">
        <f aca="true" t="shared" si="0" ref="E5:L5">SUM(E6:E7)</f>
        <v>2772</v>
      </c>
      <c r="F5" s="27">
        <f t="shared" si="0"/>
        <v>6468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3444</v>
      </c>
      <c r="K5" s="27">
        <f t="shared" si="0"/>
        <v>3444</v>
      </c>
      <c r="L5" s="27">
        <f t="shared" si="0"/>
        <v>0</v>
      </c>
      <c r="M5" s="54">
        <f aca="true" t="shared" si="1" ref="M5:M30">SUM(E5:L5)</f>
        <v>16128</v>
      </c>
    </row>
    <row r="6" spans="1:13" ht="14.25">
      <c r="A6" s="68" t="s">
        <v>27</v>
      </c>
      <c r="B6" s="69"/>
      <c r="C6" s="4" t="s">
        <v>37</v>
      </c>
      <c r="D6" s="14">
        <f>11000*0.84</f>
        <v>9240</v>
      </c>
      <c r="E6" s="40">
        <f>D6*0.3</f>
        <v>2772</v>
      </c>
      <c r="F6" s="40">
        <f>D6*0.7</f>
        <v>6468</v>
      </c>
      <c r="G6" s="1"/>
      <c r="H6" s="1"/>
      <c r="I6" s="1"/>
      <c r="J6" s="1"/>
      <c r="K6" s="1"/>
      <c r="L6" s="1"/>
      <c r="M6" s="54">
        <f t="shared" si="1"/>
        <v>9240</v>
      </c>
    </row>
    <row r="7" spans="1:13" ht="41.25" customHeight="1" thickBot="1">
      <c r="A7" s="70" t="s">
        <v>28</v>
      </c>
      <c r="B7" s="71"/>
      <c r="C7" s="5" t="s">
        <v>38</v>
      </c>
      <c r="D7" s="15">
        <f>8200*0.84</f>
        <v>6888</v>
      </c>
      <c r="E7" s="1"/>
      <c r="F7" s="1"/>
      <c r="G7" s="1"/>
      <c r="H7" s="1"/>
      <c r="I7" s="1"/>
      <c r="J7" s="40">
        <f>D7*0.5</f>
        <v>3444</v>
      </c>
      <c r="K7" s="40">
        <f>J7</f>
        <v>3444</v>
      </c>
      <c r="L7" s="1"/>
      <c r="M7" s="54">
        <f t="shared" si="1"/>
        <v>6888</v>
      </c>
    </row>
    <row r="8" spans="1:13" ht="15.75" thickBot="1">
      <c r="A8" s="72" t="s">
        <v>9</v>
      </c>
      <c r="B8" s="73"/>
      <c r="C8" s="74"/>
      <c r="D8" s="13">
        <f>SUM(D9:D10)</f>
        <v>39202.8</v>
      </c>
      <c r="E8" s="27">
        <f aca="true" t="shared" si="2" ref="E8:L8">SUM(E9:E10)</f>
        <v>0</v>
      </c>
      <c r="F8" s="27">
        <f t="shared" si="2"/>
        <v>0</v>
      </c>
      <c r="G8" s="27">
        <f t="shared" si="2"/>
        <v>2402.4</v>
      </c>
      <c r="H8" s="27">
        <f t="shared" si="2"/>
        <v>0</v>
      </c>
      <c r="I8" s="27">
        <f t="shared" si="2"/>
        <v>34398</v>
      </c>
      <c r="J8" s="27">
        <f t="shared" si="2"/>
        <v>2402.4</v>
      </c>
      <c r="K8" s="27">
        <f t="shared" si="2"/>
        <v>0</v>
      </c>
      <c r="L8" s="27">
        <f t="shared" si="2"/>
        <v>0</v>
      </c>
      <c r="M8" s="54">
        <f t="shared" si="1"/>
        <v>39202.8</v>
      </c>
    </row>
    <row r="9" spans="1:13" ht="22.5">
      <c r="A9" s="79" t="s">
        <v>8</v>
      </c>
      <c r="B9" s="69"/>
      <c r="C9" s="4" t="s">
        <v>39</v>
      </c>
      <c r="D9" s="16">
        <f>40950*0.84</f>
        <v>34398</v>
      </c>
      <c r="E9" s="1"/>
      <c r="F9" s="1"/>
      <c r="G9" s="1"/>
      <c r="H9" s="1"/>
      <c r="I9" s="40">
        <f>D9</f>
        <v>34398</v>
      </c>
      <c r="J9" s="1"/>
      <c r="K9" s="1"/>
      <c r="L9" s="1"/>
      <c r="M9" s="54">
        <f t="shared" si="1"/>
        <v>34398</v>
      </c>
    </row>
    <row r="10" spans="1:13" ht="15" thickBot="1">
      <c r="A10" s="80" t="s">
        <v>10</v>
      </c>
      <c r="B10" s="71"/>
      <c r="C10" s="5" t="s">
        <v>40</v>
      </c>
      <c r="D10" s="15">
        <f>5720*0.84</f>
        <v>4804.8</v>
      </c>
      <c r="E10" s="1"/>
      <c r="F10" s="1"/>
      <c r="G10" s="40">
        <f>D10*0.5</f>
        <v>2402.4</v>
      </c>
      <c r="H10" s="1"/>
      <c r="I10" s="1"/>
      <c r="J10" s="40">
        <f>G10</f>
        <v>2402.4</v>
      </c>
      <c r="K10" s="1"/>
      <c r="L10" s="1"/>
      <c r="M10" s="54">
        <f t="shared" si="1"/>
        <v>4804.8</v>
      </c>
    </row>
    <row r="11" spans="1:13" ht="15.75" thickBot="1">
      <c r="A11" s="72" t="s">
        <v>18</v>
      </c>
      <c r="B11" s="73"/>
      <c r="C11" s="74"/>
      <c r="D11" s="13">
        <f>SUM(D12:D17)</f>
        <v>137670.99</v>
      </c>
      <c r="E11" s="27">
        <f aca="true" t="shared" si="3" ref="E11:L11">SUM(E12:E17)</f>
        <v>655.1999999999999</v>
      </c>
      <c r="F11" s="27">
        <f t="shared" si="3"/>
        <v>5889.468000000001</v>
      </c>
      <c r="G11" s="27">
        <f t="shared" si="3"/>
        <v>6904.602</v>
      </c>
      <c r="H11" s="27">
        <f t="shared" si="3"/>
        <v>0</v>
      </c>
      <c r="I11" s="27">
        <f t="shared" si="3"/>
        <v>124221.72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54">
        <f t="shared" si="1"/>
        <v>137670.99</v>
      </c>
    </row>
    <row r="12" spans="1:13" ht="44.25" customHeight="1">
      <c r="A12" s="68" t="s">
        <v>29</v>
      </c>
      <c r="B12" s="69"/>
      <c r="C12" s="4" t="s">
        <v>41</v>
      </c>
      <c r="D12" s="16">
        <f>1300*0.84</f>
        <v>1092</v>
      </c>
      <c r="E12" s="1"/>
      <c r="F12" s="40">
        <f>D12</f>
        <v>1092</v>
      </c>
      <c r="G12" s="1"/>
      <c r="H12" s="1"/>
      <c r="I12" s="1"/>
      <c r="J12" s="1"/>
      <c r="K12" s="1"/>
      <c r="L12" s="1"/>
      <c r="M12" s="54">
        <f t="shared" si="1"/>
        <v>1092</v>
      </c>
    </row>
    <row r="13" spans="1:13" ht="39.75" customHeight="1">
      <c r="A13" s="75" t="s">
        <v>23</v>
      </c>
      <c r="B13" s="76"/>
      <c r="C13" s="6" t="s">
        <v>24</v>
      </c>
      <c r="D13" s="17">
        <f>1300*0.84</f>
        <v>1092</v>
      </c>
      <c r="E13" s="40">
        <f>D13*0.6</f>
        <v>655.1999999999999</v>
      </c>
      <c r="F13" s="40">
        <f>D13*0.4</f>
        <v>436.8</v>
      </c>
      <c r="G13" s="1"/>
      <c r="H13" s="1"/>
      <c r="I13" s="1"/>
      <c r="J13" s="1"/>
      <c r="K13" s="1"/>
      <c r="L13" s="1"/>
      <c r="M13" s="54">
        <f t="shared" si="1"/>
        <v>1092</v>
      </c>
    </row>
    <row r="14" spans="1:13" ht="22.5">
      <c r="A14" s="77" t="s">
        <v>11</v>
      </c>
      <c r="B14" s="78"/>
      <c r="C14" s="6" t="s">
        <v>42</v>
      </c>
      <c r="D14" s="18">
        <f>9050*0.84</f>
        <v>7602</v>
      </c>
      <c r="E14" s="1"/>
      <c r="F14" s="40">
        <f>D14*0.4</f>
        <v>3040.8</v>
      </c>
      <c r="G14" s="40">
        <f>D14*0.6</f>
        <v>4561.2</v>
      </c>
      <c r="H14" s="1"/>
      <c r="I14" s="1"/>
      <c r="J14" s="1"/>
      <c r="K14" s="1"/>
      <c r="L14" s="1"/>
      <c r="M14" s="54">
        <f t="shared" si="1"/>
        <v>7602</v>
      </c>
    </row>
    <row r="15" spans="1:13" ht="22.5">
      <c r="A15" s="77" t="s">
        <v>12</v>
      </c>
      <c r="B15" s="78"/>
      <c r="C15" s="6" t="s">
        <v>1</v>
      </c>
      <c r="D15" s="18">
        <f>400*0.909</f>
        <v>363.6</v>
      </c>
      <c r="E15" s="1"/>
      <c r="F15" s="1"/>
      <c r="G15" s="40">
        <f>D15</f>
        <v>363.6</v>
      </c>
      <c r="H15" s="1"/>
      <c r="I15" s="1"/>
      <c r="J15" s="1"/>
      <c r="K15" s="1"/>
      <c r="L15" s="1"/>
      <c r="M15" s="54">
        <f t="shared" si="1"/>
        <v>363.6</v>
      </c>
    </row>
    <row r="16" spans="1:13" ht="22.5">
      <c r="A16" s="77" t="s">
        <v>13</v>
      </c>
      <c r="B16" s="78"/>
      <c r="C16" s="7" t="s">
        <v>43</v>
      </c>
      <c r="D16" s="17">
        <f>3630*0.909</f>
        <v>3299.67</v>
      </c>
      <c r="E16" s="1"/>
      <c r="F16" s="40">
        <f>D16*0.4</f>
        <v>1319.8680000000002</v>
      </c>
      <c r="G16" s="40">
        <f>D16*0.6</f>
        <v>1979.802</v>
      </c>
      <c r="H16" s="1"/>
      <c r="I16" s="1"/>
      <c r="J16" s="1"/>
      <c r="K16" s="1"/>
      <c r="L16" s="1"/>
      <c r="M16" s="54">
        <f t="shared" si="1"/>
        <v>3299.67</v>
      </c>
    </row>
    <row r="17" spans="1:13" ht="23.25" thickBot="1">
      <c r="A17" s="70" t="s">
        <v>25</v>
      </c>
      <c r="B17" s="87"/>
      <c r="C17" s="5" t="s">
        <v>14</v>
      </c>
      <c r="D17" s="15">
        <f>147883*0.84</f>
        <v>124221.72</v>
      </c>
      <c r="E17" s="1"/>
      <c r="F17" s="1"/>
      <c r="G17" s="1"/>
      <c r="H17" s="1"/>
      <c r="I17" s="40">
        <f>D17</f>
        <v>124221.72</v>
      </c>
      <c r="J17" s="1"/>
      <c r="K17" s="1"/>
      <c r="L17" s="1"/>
      <c r="M17" s="54">
        <f t="shared" si="1"/>
        <v>124221.72</v>
      </c>
    </row>
    <row r="18" spans="1:13" ht="15.75" thickBot="1">
      <c r="A18" s="88" t="s">
        <v>15</v>
      </c>
      <c r="B18" s="89"/>
      <c r="C18" s="90"/>
      <c r="D18" s="13">
        <f>SUM(D19:D20)</f>
        <v>286767</v>
      </c>
      <c r="E18" s="27">
        <f aca="true" t="shared" si="4" ref="E18:L18">SUM(E19:E20)</f>
        <v>0</v>
      </c>
      <c r="F18" s="27">
        <f t="shared" si="4"/>
        <v>0</v>
      </c>
      <c r="G18" s="27">
        <f t="shared" si="4"/>
        <v>0</v>
      </c>
      <c r="H18" s="27">
        <f t="shared" si="4"/>
        <v>286767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L18" s="27">
        <f t="shared" si="4"/>
        <v>0</v>
      </c>
      <c r="M18" s="54">
        <f t="shared" si="1"/>
        <v>286767</v>
      </c>
    </row>
    <row r="19" spans="1:13" ht="22.5">
      <c r="A19" s="68" t="s">
        <v>77</v>
      </c>
      <c r="B19" s="69"/>
      <c r="C19" s="4" t="s">
        <v>44</v>
      </c>
      <c r="D19" s="14">
        <f>333050*0.86</f>
        <v>286423</v>
      </c>
      <c r="E19" s="1"/>
      <c r="F19" s="1"/>
      <c r="G19" s="1"/>
      <c r="H19" s="40">
        <f>D19</f>
        <v>286423</v>
      </c>
      <c r="I19" s="1"/>
      <c r="J19" s="1"/>
      <c r="K19" s="1"/>
      <c r="L19" s="1"/>
      <c r="M19" s="54">
        <f t="shared" si="1"/>
        <v>286423</v>
      </c>
    </row>
    <row r="20" spans="1:13" ht="34.5" thickBot="1">
      <c r="A20" s="70" t="s">
        <v>78</v>
      </c>
      <c r="B20" s="71"/>
      <c r="C20" s="8" t="s">
        <v>2</v>
      </c>
      <c r="D20" s="19">
        <f>400*0.86</f>
        <v>344</v>
      </c>
      <c r="E20" s="1"/>
      <c r="F20" s="1"/>
      <c r="G20" s="1"/>
      <c r="H20" s="40">
        <f>D20</f>
        <v>344</v>
      </c>
      <c r="I20" s="1"/>
      <c r="J20" s="1"/>
      <c r="K20" s="1"/>
      <c r="L20" s="1"/>
      <c r="M20" s="54">
        <f t="shared" si="1"/>
        <v>344</v>
      </c>
    </row>
    <row r="21" spans="1:13" ht="15.75" thickBot="1">
      <c r="A21" s="72" t="s">
        <v>19</v>
      </c>
      <c r="B21" s="73"/>
      <c r="C21" s="74"/>
      <c r="D21" s="20">
        <f>SUM(D22:D25)</f>
        <v>1235515.347</v>
      </c>
      <c r="E21" s="34">
        <f aca="true" t="shared" si="5" ref="E21:L21">SUM(E22:E25)</f>
        <v>62240.5935</v>
      </c>
      <c r="F21" s="34">
        <f t="shared" si="5"/>
        <v>90061.3935</v>
      </c>
      <c r="G21" s="34">
        <f t="shared" si="5"/>
        <v>239683.04325</v>
      </c>
      <c r="H21" s="34">
        <f t="shared" si="5"/>
        <v>239683.04325</v>
      </c>
      <c r="I21" s="34">
        <f t="shared" si="5"/>
        <v>239683.04325</v>
      </c>
      <c r="J21" s="34">
        <f t="shared" si="5"/>
        <v>239683.04325</v>
      </c>
      <c r="K21" s="34">
        <f t="shared" si="5"/>
        <v>62240.5935</v>
      </c>
      <c r="L21" s="34">
        <f t="shared" si="5"/>
        <v>62240.5935</v>
      </c>
      <c r="M21" s="54">
        <f t="shared" si="1"/>
        <v>1235515.3469999998</v>
      </c>
    </row>
    <row r="22" spans="1:13" ht="67.5" customHeight="1">
      <c r="A22" s="68" t="s">
        <v>30</v>
      </c>
      <c r="B22" s="69"/>
      <c r="C22" s="9" t="s">
        <v>26</v>
      </c>
      <c r="D22" s="16">
        <f>(446614.65+249300)*0.86</f>
        <v>598486.599</v>
      </c>
      <c r="E22" s="1"/>
      <c r="F22" s="1"/>
      <c r="G22" s="40">
        <f>D22/4</f>
        <v>149621.64975</v>
      </c>
      <c r="H22" s="40">
        <f>G22</f>
        <v>149621.64975</v>
      </c>
      <c r="I22" s="40">
        <f>H22</f>
        <v>149621.64975</v>
      </c>
      <c r="J22" s="40">
        <f>I22</f>
        <v>149621.64975</v>
      </c>
      <c r="K22" s="1"/>
      <c r="L22" s="1"/>
      <c r="M22" s="54">
        <f t="shared" si="1"/>
        <v>598486.599</v>
      </c>
    </row>
    <row r="23" spans="1:13" ht="34.5" customHeight="1">
      <c r="A23" s="75" t="s">
        <v>20</v>
      </c>
      <c r="B23" s="78"/>
      <c r="C23" s="7" t="s">
        <v>0</v>
      </c>
      <c r="D23" s="21">
        <f>277772*0.909</f>
        <v>252494.74800000002</v>
      </c>
      <c r="E23" s="1">
        <f>D23/8</f>
        <v>31561.843500000003</v>
      </c>
      <c r="F23" s="1">
        <f>E23</f>
        <v>31561.843500000003</v>
      </c>
      <c r="G23" s="1">
        <f aca="true" t="shared" si="6" ref="G23:L24">F23</f>
        <v>31561.843500000003</v>
      </c>
      <c r="H23" s="1">
        <f t="shared" si="6"/>
        <v>31561.843500000003</v>
      </c>
      <c r="I23" s="1">
        <f t="shared" si="6"/>
        <v>31561.843500000003</v>
      </c>
      <c r="J23" s="1">
        <f t="shared" si="6"/>
        <v>31561.843500000003</v>
      </c>
      <c r="K23" s="1">
        <f t="shared" si="6"/>
        <v>31561.843500000003</v>
      </c>
      <c r="L23" s="1">
        <f t="shared" si="6"/>
        <v>31561.843500000003</v>
      </c>
      <c r="M23" s="54">
        <f t="shared" si="1"/>
        <v>252494.74800000008</v>
      </c>
    </row>
    <row r="24" spans="1:13" ht="36" customHeight="1">
      <c r="A24" s="75" t="s">
        <v>79</v>
      </c>
      <c r="B24" s="78"/>
      <c r="C24" s="10" t="s">
        <v>45</v>
      </c>
      <c r="D24" s="18">
        <f>270000*0.909</f>
        <v>245430</v>
      </c>
      <c r="E24" s="40">
        <f>D24/8</f>
        <v>30678.75</v>
      </c>
      <c r="F24" s="40">
        <f>E24</f>
        <v>30678.75</v>
      </c>
      <c r="G24" s="40">
        <f t="shared" si="6"/>
        <v>30678.75</v>
      </c>
      <c r="H24" s="40">
        <f t="shared" si="6"/>
        <v>30678.75</v>
      </c>
      <c r="I24" s="40">
        <f t="shared" si="6"/>
        <v>30678.75</v>
      </c>
      <c r="J24" s="40">
        <f t="shared" si="6"/>
        <v>30678.75</v>
      </c>
      <c r="K24" s="40">
        <f t="shared" si="6"/>
        <v>30678.75</v>
      </c>
      <c r="L24" s="40">
        <f t="shared" si="6"/>
        <v>30678.75</v>
      </c>
      <c r="M24" s="54">
        <f t="shared" si="1"/>
        <v>245430</v>
      </c>
    </row>
    <row r="25" spans="1:13" ht="28.5" customHeight="1" thickBot="1">
      <c r="A25" s="70" t="s">
        <v>22</v>
      </c>
      <c r="B25" s="71"/>
      <c r="C25" s="11" t="s">
        <v>3</v>
      </c>
      <c r="D25" s="15">
        <f>165600*0.84</f>
        <v>139104</v>
      </c>
      <c r="E25" s="1"/>
      <c r="F25" s="40">
        <f>D25*0.2</f>
        <v>27820.800000000003</v>
      </c>
      <c r="G25" s="40">
        <f>F25</f>
        <v>27820.800000000003</v>
      </c>
      <c r="H25" s="40">
        <f>G25</f>
        <v>27820.800000000003</v>
      </c>
      <c r="I25" s="40">
        <f>H25</f>
        <v>27820.800000000003</v>
      </c>
      <c r="J25" s="40">
        <f>I25</f>
        <v>27820.800000000003</v>
      </c>
      <c r="K25" s="1"/>
      <c r="L25" s="1"/>
      <c r="M25" s="54">
        <f t="shared" si="1"/>
        <v>139104</v>
      </c>
    </row>
    <row r="26" spans="1:13" ht="20.25" customHeight="1" thickBot="1">
      <c r="A26" s="81" t="s">
        <v>31</v>
      </c>
      <c r="B26" s="82"/>
      <c r="C26" s="83"/>
      <c r="D26" s="22">
        <f>D21+D18+D11+D8+D5+D4</f>
        <v>1729828.137</v>
      </c>
      <c r="E26" s="36">
        <f aca="true" t="shared" si="7" ref="E26:L26">E21+E18+E11+E8+E5+E4</f>
        <v>80211.7935</v>
      </c>
      <c r="F26" s="36">
        <f t="shared" si="7"/>
        <v>102418.8615</v>
      </c>
      <c r="G26" s="36">
        <f t="shared" si="7"/>
        <v>248990.04525</v>
      </c>
      <c r="H26" s="36">
        <f t="shared" si="7"/>
        <v>526450.04325</v>
      </c>
      <c r="I26" s="36">
        <f t="shared" si="7"/>
        <v>398302.76324999996</v>
      </c>
      <c r="J26" s="36">
        <f t="shared" si="7"/>
        <v>245529.44324999998</v>
      </c>
      <c r="K26" s="36">
        <f t="shared" si="7"/>
        <v>65684.5935</v>
      </c>
      <c r="L26" s="36">
        <f t="shared" si="7"/>
        <v>62240.5935</v>
      </c>
      <c r="M26" s="54">
        <f t="shared" si="1"/>
        <v>1729828.1369999999</v>
      </c>
    </row>
    <row r="27" spans="1:13" ht="12.75">
      <c r="A27" s="96" t="s">
        <v>32</v>
      </c>
      <c r="B27" s="97"/>
      <c r="C27" s="98"/>
      <c r="D27" s="23">
        <f>D26*0.06</f>
        <v>103789.68822</v>
      </c>
      <c r="E27" s="37">
        <f aca="true" t="shared" si="8" ref="E27:L27">E26*0.06</f>
        <v>4812.7076099999995</v>
      </c>
      <c r="F27" s="37">
        <f t="shared" si="8"/>
        <v>6145.13169</v>
      </c>
      <c r="G27" s="37">
        <f t="shared" si="8"/>
        <v>14939.402714999998</v>
      </c>
      <c r="H27" s="37">
        <f t="shared" si="8"/>
        <v>31587.002594999998</v>
      </c>
      <c r="I27" s="37">
        <f t="shared" si="8"/>
        <v>23898.165794999997</v>
      </c>
      <c r="J27" s="37">
        <f t="shared" si="8"/>
        <v>14731.766595</v>
      </c>
      <c r="K27" s="37">
        <f t="shared" si="8"/>
        <v>3941.07561</v>
      </c>
      <c r="L27" s="37">
        <f t="shared" si="8"/>
        <v>3734.43561</v>
      </c>
      <c r="M27" s="54">
        <f t="shared" si="1"/>
        <v>103789.68821999998</v>
      </c>
    </row>
    <row r="28" spans="1:13" ht="12.75">
      <c r="A28" s="102" t="s">
        <v>85</v>
      </c>
      <c r="B28" s="105"/>
      <c r="C28" s="106"/>
      <c r="D28" s="63">
        <f>D26*0.03</f>
        <v>51894.84411</v>
      </c>
      <c r="E28" s="63">
        <f aca="true" t="shared" si="9" ref="E28:L28">E26*0.03</f>
        <v>2406.3538049999997</v>
      </c>
      <c r="F28" s="63">
        <f t="shared" si="9"/>
        <v>3072.565845</v>
      </c>
      <c r="G28" s="63">
        <f t="shared" si="9"/>
        <v>7469.701357499999</v>
      </c>
      <c r="H28" s="63">
        <f t="shared" si="9"/>
        <v>15793.501297499999</v>
      </c>
      <c r="I28" s="63">
        <f t="shared" si="9"/>
        <v>11949.082897499999</v>
      </c>
      <c r="J28" s="63">
        <f t="shared" si="9"/>
        <v>7365.8832975</v>
      </c>
      <c r="K28" s="63">
        <f t="shared" si="9"/>
        <v>1970.537805</v>
      </c>
      <c r="L28" s="63">
        <f t="shared" si="9"/>
        <v>1867.217805</v>
      </c>
      <c r="M28" s="54"/>
    </row>
    <row r="29" spans="1:13" ht="13.5" thickBot="1">
      <c r="A29" s="99" t="s">
        <v>33</v>
      </c>
      <c r="B29" s="100"/>
      <c r="C29" s="101"/>
      <c r="D29" s="24">
        <f>D26*0.01</f>
        <v>17298.28137</v>
      </c>
      <c r="E29" s="38">
        <f aca="true" t="shared" si="10" ref="E29:L29">E26*0.01</f>
        <v>802.117935</v>
      </c>
      <c r="F29" s="38">
        <f t="shared" si="10"/>
        <v>1024.188615</v>
      </c>
      <c r="G29" s="38">
        <f t="shared" si="10"/>
        <v>2489.9004525</v>
      </c>
      <c r="H29" s="38">
        <f t="shared" si="10"/>
        <v>5264.5004325</v>
      </c>
      <c r="I29" s="38">
        <f t="shared" si="10"/>
        <v>3983.0276324999995</v>
      </c>
      <c r="J29" s="38">
        <f t="shared" si="10"/>
        <v>2455.2944325</v>
      </c>
      <c r="K29" s="38">
        <f t="shared" si="10"/>
        <v>656.845935</v>
      </c>
      <c r="L29" s="38">
        <f t="shared" si="10"/>
        <v>622.405935</v>
      </c>
      <c r="M29" s="54">
        <f t="shared" si="1"/>
        <v>17298.28137</v>
      </c>
    </row>
    <row r="30" spans="1:13" ht="13.5" thickBot="1">
      <c r="A30" s="81" t="s">
        <v>34</v>
      </c>
      <c r="B30" s="82"/>
      <c r="C30" s="83"/>
      <c r="D30" s="25">
        <f>SUM(D26:D29)</f>
        <v>1902810.9507</v>
      </c>
      <c r="E30" s="39">
        <f aca="true" t="shared" si="11" ref="E30:L30">SUM(E26:E29)</f>
        <v>88232.97285</v>
      </c>
      <c r="F30" s="39">
        <f t="shared" si="11"/>
        <v>112660.74765</v>
      </c>
      <c r="G30" s="39">
        <f t="shared" si="11"/>
        <v>273889.04977499996</v>
      </c>
      <c r="H30" s="39">
        <f t="shared" si="11"/>
        <v>579095.047575</v>
      </c>
      <c r="I30" s="39">
        <f t="shared" si="11"/>
        <v>438133.03957499994</v>
      </c>
      <c r="J30" s="39">
        <f t="shared" si="11"/>
        <v>270082.387575</v>
      </c>
      <c r="K30" s="39">
        <f t="shared" si="11"/>
        <v>72253.05285000001</v>
      </c>
      <c r="L30" s="39">
        <f t="shared" si="11"/>
        <v>68464.65285</v>
      </c>
      <c r="M30" s="54">
        <f t="shared" si="1"/>
        <v>1902810.9507000002</v>
      </c>
    </row>
    <row r="31" spans="8:12" ht="12.75">
      <c r="H31" s="2">
        <f>SUM(E30:H30)</f>
        <v>1053877.81785</v>
      </c>
      <c r="L31" s="2">
        <f>SUM(I30:L30)</f>
        <v>848933.1328499998</v>
      </c>
    </row>
    <row r="32" ht="13.5" thickBot="1"/>
    <row r="33" spans="1:13" ht="13.5" thickBot="1">
      <c r="A33" s="91" t="s">
        <v>47</v>
      </c>
      <c r="B33" s="92"/>
      <c r="C33" s="92"/>
      <c r="D33" s="93"/>
      <c r="E33" s="1">
        <v>2009</v>
      </c>
      <c r="F33" s="1"/>
      <c r="G33" s="1"/>
      <c r="H33" s="1"/>
      <c r="I33" s="1">
        <v>2010</v>
      </c>
      <c r="J33" s="1"/>
      <c r="K33" s="1"/>
      <c r="L33" s="1"/>
      <c r="M33" t="s">
        <v>80</v>
      </c>
    </row>
    <row r="34" spans="1:12" ht="13.5" thickBot="1">
      <c r="A34" s="94" t="s">
        <v>35</v>
      </c>
      <c r="B34" s="95"/>
      <c r="C34" s="95"/>
      <c r="D34" s="12" t="s">
        <v>7</v>
      </c>
      <c r="E34" s="1" t="s">
        <v>48</v>
      </c>
      <c r="F34" s="1" t="s">
        <v>49</v>
      </c>
      <c r="G34" s="1" t="s">
        <v>50</v>
      </c>
      <c r="H34" s="1" t="s">
        <v>51</v>
      </c>
      <c r="I34" s="1" t="s">
        <v>48</v>
      </c>
      <c r="J34" s="1" t="s">
        <v>49</v>
      </c>
      <c r="K34" s="1" t="s">
        <v>50</v>
      </c>
      <c r="L34" s="1" t="s">
        <v>51</v>
      </c>
    </row>
    <row r="35" spans="1:13" ht="13.5" thickBot="1">
      <c r="A35" s="84" t="s">
        <v>6</v>
      </c>
      <c r="B35" s="85"/>
      <c r="C35" s="86"/>
      <c r="D35" s="13">
        <v>14544</v>
      </c>
      <c r="E35" s="40">
        <f>D35</f>
        <v>14544</v>
      </c>
      <c r="F35" s="1"/>
      <c r="G35" s="1"/>
      <c r="H35" s="1"/>
      <c r="I35" s="1"/>
      <c r="J35" s="1"/>
      <c r="K35" s="1"/>
      <c r="L35" s="1"/>
      <c r="M35" s="2">
        <f>SUM(E35:L35)</f>
        <v>14544</v>
      </c>
    </row>
    <row r="36" spans="1:13" ht="15.75" thickBot="1">
      <c r="A36" s="65" t="s">
        <v>5</v>
      </c>
      <c r="B36" s="66"/>
      <c r="C36" s="67"/>
      <c r="D36" s="13">
        <f>SUM(D37:D38)</f>
        <v>16128</v>
      </c>
      <c r="E36" s="27">
        <f aca="true" t="shared" si="12" ref="E36:L36">SUM(E37:E38)</f>
        <v>2772</v>
      </c>
      <c r="F36" s="27">
        <f t="shared" si="12"/>
        <v>6468</v>
      </c>
      <c r="G36" s="27">
        <f t="shared" si="12"/>
        <v>0</v>
      </c>
      <c r="H36" s="27">
        <f t="shared" si="12"/>
        <v>0</v>
      </c>
      <c r="I36" s="27">
        <f t="shared" si="12"/>
        <v>0</v>
      </c>
      <c r="J36" s="27">
        <f t="shared" si="12"/>
        <v>3444</v>
      </c>
      <c r="K36" s="27">
        <f t="shared" si="12"/>
        <v>3444</v>
      </c>
      <c r="L36" s="27">
        <f t="shared" si="12"/>
        <v>0</v>
      </c>
      <c r="M36" s="2">
        <f aca="true" t="shared" si="13" ref="M36:M61">SUM(E36:L36)</f>
        <v>16128</v>
      </c>
    </row>
    <row r="37" spans="1:13" ht="14.25">
      <c r="A37" s="68" t="s">
        <v>27</v>
      </c>
      <c r="B37" s="69"/>
      <c r="C37" s="4" t="s">
        <v>37</v>
      </c>
      <c r="D37" s="14">
        <f>11000*0.84</f>
        <v>9240</v>
      </c>
      <c r="E37" s="40">
        <f>D37*0.3</f>
        <v>2772</v>
      </c>
      <c r="F37" s="40">
        <f>D37*0.7</f>
        <v>6468</v>
      </c>
      <c r="G37" s="1"/>
      <c r="H37" s="1"/>
      <c r="I37" s="1"/>
      <c r="J37" s="1"/>
      <c r="K37" s="1"/>
      <c r="L37" s="1"/>
      <c r="M37" s="2">
        <f t="shared" si="13"/>
        <v>9240</v>
      </c>
    </row>
    <row r="38" spans="1:13" ht="15" thickBot="1">
      <c r="A38" s="70" t="s">
        <v>28</v>
      </c>
      <c r="B38" s="71"/>
      <c r="C38" s="5" t="s">
        <v>38</v>
      </c>
      <c r="D38" s="15">
        <f>8200*0.84</f>
        <v>6888</v>
      </c>
      <c r="E38" s="1"/>
      <c r="F38" s="1"/>
      <c r="G38" s="1"/>
      <c r="H38" s="1"/>
      <c r="I38" s="1"/>
      <c r="J38" s="40">
        <f>D38*0.5</f>
        <v>3444</v>
      </c>
      <c r="K38" s="40">
        <f>J38</f>
        <v>3444</v>
      </c>
      <c r="L38" s="1"/>
      <c r="M38" s="2">
        <f t="shared" si="13"/>
        <v>6888</v>
      </c>
    </row>
    <row r="39" spans="1:13" ht="15.75" thickBot="1">
      <c r="A39" s="72" t="s">
        <v>9</v>
      </c>
      <c r="B39" s="73"/>
      <c r="C39" s="74"/>
      <c r="D39" s="13">
        <f>SUM(D40:D41)</f>
        <v>39202.8</v>
      </c>
      <c r="E39" s="27">
        <f aca="true" t="shared" si="14" ref="E39:L39">SUM(E40:E41)</f>
        <v>0</v>
      </c>
      <c r="F39" s="27">
        <f t="shared" si="14"/>
        <v>0</v>
      </c>
      <c r="G39" s="27">
        <f t="shared" si="14"/>
        <v>2402.4</v>
      </c>
      <c r="H39" s="27">
        <f t="shared" si="14"/>
        <v>0</v>
      </c>
      <c r="I39" s="27">
        <f t="shared" si="14"/>
        <v>34398</v>
      </c>
      <c r="J39" s="27">
        <f t="shared" si="14"/>
        <v>2402.4</v>
      </c>
      <c r="K39" s="27">
        <f t="shared" si="14"/>
        <v>0</v>
      </c>
      <c r="L39" s="27">
        <f t="shared" si="14"/>
        <v>0</v>
      </c>
      <c r="M39" s="2">
        <f t="shared" si="13"/>
        <v>39202.8</v>
      </c>
    </row>
    <row r="40" spans="1:13" ht="22.5">
      <c r="A40" s="79" t="s">
        <v>8</v>
      </c>
      <c r="B40" s="69"/>
      <c r="C40" s="4" t="s">
        <v>39</v>
      </c>
      <c r="D40" s="16">
        <f>40950*0.84</f>
        <v>34398</v>
      </c>
      <c r="E40" s="1"/>
      <c r="F40" s="1"/>
      <c r="G40" s="1"/>
      <c r="H40" s="1"/>
      <c r="I40" s="40">
        <f>D40</f>
        <v>34398</v>
      </c>
      <c r="J40" s="1"/>
      <c r="K40" s="1"/>
      <c r="L40" s="1"/>
      <c r="M40" s="2">
        <f t="shared" si="13"/>
        <v>34398</v>
      </c>
    </row>
    <row r="41" spans="1:13" ht="15" thickBot="1">
      <c r="A41" s="80" t="s">
        <v>10</v>
      </c>
      <c r="B41" s="71"/>
      <c r="C41" s="5" t="s">
        <v>40</v>
      </c>
      <c r="D41" s="15">
        <f>5720*0.84</f>
        <v>4804.8</v>
      </c>
      <c r="E41" s="1"/>
      <c r="F41" s="1"/>
      <c r="G41" s="40">
        <f>D41*0.5</f>
        <v>2402.4</v>
      </c>
      <c r="H41" s="1"/>
      <c r="I41" s="1"/>
      <c r="J41" s="40">
        <f>G41</f>
        <v>2402.4</v>
      </c>
      <c r="K41" s="1"/>
      <c r="L41" s="1"/>
      <c r="M41" s="2">
        <f t="shared" si="13"/>
        <v>4804.8</v>
      </c>
    </row>
    <row r="42" spans="1:13" ht="15.75" thickBot="1">
      <c r="A42" s="72" t="s">
        <v>18</v>
      </c>
      <c r="B42" s="73"/>
      <c r="C42" s="74"/>
      <c r="D42" s="13">
        <f>SUM(D43:D48)</f>
        <v>153378.99</v>
      </c>
      <c r="E42" s="27">
        <f aca="true" t="shared" si="15" ref="E42:L42">SUM(E43:E48)</f>
        <v>0</v>
      </c>
      <c r="F42" s="27">
        <f t="shared" si="15"/>
        <v>22252.667999999998</v>
      </c>
      <c r="G42" s="27">
        <f t="shared" si="15"/>
        <v>6904.602</v>
      </c>
      <c r="H42" s="27">
        <f t="shared" si="15"/>
        <v>0</v>
      </c>
      <c r="I42" s="27">
        <f t="shared" si="15"/>
        <v>124221.72</v>
      </c>
      <c r="J42" s="27">
        <f t="shared" si="15"/>
        <v>0</v>
      </c>
      <c r="K42" s="27">
        <f t="shared" si="15"/>
        <v>0</v>
      </c>
      <c r="L42" s="27">
        <f t="shared" si="15"/>
        <v>0</v>
      </c>
      <c r="M42" s="2">
        <f t="shared" si="13"/>
        <v>153378.99</v>
      </c>
    </row>
    <row r="43" spans="1:13" ht="33.75">
      <c r="A43" s="68" t="s">
        <v>29</v>
      </c>
      <c r="B43" s="69"/>
      <c r="C43" s="4" t="s">
        <v>41</v>
      </c>
      <c r="D43" s="16">
        <f>1300*0.84</f>
        <v>1092</v>
      </c>
      <c r="E43" s="1"/>
      <c r="F43" s="40">
        <f>D43</f>
        <v>1092</v>
      </c>
      <c r="G43" s="1"/>
      <c r="H43" s="1"/>
      <c r="I43" s="1"/>
      <c r="J43" s="1"/>
      <c r="K43" s="1"/>
      <c r="L43" s="1"/>
      <c r="M43" s="2">
        <f t="shared" si="13"/>
        <v>1092</v>
      </c>
    </row>
    <row r="44" spans="1:13" ht="14.25" customHeight="1">
      <c r="A44" s="75" t="s">
        <v>46</v>
      </c>
      <c r="B44" s="76"/>
      <c r="C44" s="6" t="s">
        <v>53</v>
      </c>
      <c r="D44" s="17">
        <f>20000*0.84</f>
        <v>16800</v>
      </c>
      <c r="E44" s="40"/>
      <c r="F44" s="40">
        <f>D44</f>
        <v>16800</v>
      </c>
      <c r="G44" s="1"/>
      <c r="H44" s="1"/>
      <c r="I44" s="1"/>
      <c r="J44" s="1"/>
      <c r="K44" s="1"/>
      <c r="L44" s="1"/>
      <c r="M44" s="2">
        <f t="shared" si="13"/>
        <v>16800</v>
      </c>
    </row>
    <row r="45" spans="1:13" ht="22.5">
      <c r="A45" s="77" t="s">
        <v>11</v>
      </c>
      <c r="B45" s="78"/>
      <c r="C45" s="6" t="s">
        <v>42</v>
      </c>
      <c r="D45" s="18">
        <f>9050*0.84</f>
        <v>7602</v>
      </c>
      <c r="E45" s="1"/>
      <c r="F45" s="40">
        <f>D45*0.4</f>
        <v>3040.8</v>
      </c>
      <c r="G45" s="40">
        <f>D45*0.6</f>
        <v>4561.2</v>
      </c>
      <c r="H45" s="1"/>
      <c r="I45" s="1"/>
      <c r="J45" s="1"/>
      <c r="K45" s="1"/>
      <c r="L45" s="1"/>
      <c r="M45" s="2">
        <f t="shared" si="13"/>
        <v>7602</v>
      </c>
    </row>
    <row r="46" spans="1:13" ht="22.5">
      <c r="A46" s="77" t="s">
        <v>12</v>
      </c>
      <c r="B46" s="78"/>
      <c r="C46" s="6" t="s">
        <v>1</v>
      </c>
      <c r="D46" s="18">
        <f>400*0.909</f>
        <v>363.6</v>
      </c>
      <c r="E46" s="1"/>
      <c r="F46" s="1"/>
      <c r="G46" s="40">
        <f>D46</f>
        <v>363.6</v>
      </c>
      <c r="H46" s="1"/>
      <c r="I46" s="1"/>
      <c r="J46" s="1"/>
      <c r="K46" s="1"/>
      <c r="L46" s="1"/>
      <c r="M46" s="2">
        <f t="shared" si="13"/>
        <v>363.6</v>
      </c>
    </row>
    <row r="47" spans="1:13" ht="22.5">
      <c r="A47" s="77" t="s">
        <v>13</v>
      </c>
      <c r="B47" s="78"/>
      <c r="C47" s="7" t="s">
        <v>43</v>
      </c>
      <c r="D47" s="17">
        <f>3630*0.909</f>
        <v>3299.67</v>
      </c>
      <c r="E47" s="1"/>
      <c r="F47" s="40">
        <f>D47*0.4</f>
        <v>1319.8680000000002</v>
      </c>
      <c r="G47" s="40">
        <f>D47*0.6</f>
        <v>1979.802</v>
      </c>
      <c r="H47" s="1"/>
      <c r="I47" s="1"/>
      <c r="J47" s="1"/>
      <c r="K47" s="1"/>
      <c r="L47" s="1"/>
      <c r="M47" s="2">
        <f t="shared" si="13"/>
        <v>3299.67</v>
      </c>
    </row>
    <row r="48" spans="1:13" ht="23.25" thickBot="1">
      <c r="A48" s="70" t="s">
        <v>25</v>
      </c>
      <c r="B48" s="87"/>
      <c r="C48" s="5" t="s">
        <v>14</v>
      </c>
      <c r="D48" s="15">
        <f>147883*0.84</f>
        <v>124221.72</v>
      </c>
      <c r="E48" s="1"/>
      <c r="F48" s="1"/>
      <c r="G48" s="1"/>
      <c r="H48" s="1"/>
      <c r="I48" s="40">
        <f>D48</f>
        <v>124221.72</v>
      </c>
      <c r="J48" s="1"/>
      <c r="K48" s="1"/>
      <c r="L48" s="1"/>
      <c r="M48" s="2">
        <f t="shared" si="13"/>
        <v>124221.72</v>
      </c>
    </row>
    <row r="49" spans="1:13" ht="15.75" thickBot="1">
      <c r="A49" s="88" t="s">
        <v>15</v>
      </c>
      <c r="B49" s="89"/>
      <c r="C49" s="90"/>
      <c r="D49" s="13">
        <f>SUM(D50:D51)</f>
        <v>286767</v>
      </c>
      <c r="E49" s="27">
        <f aca="true" t="shared" si="16" ref="E49:L49">SUM(E50:E51)</f>
        <v>0</v>
      </c>
      <c r="F49" s="27">
        <f t="shared" si="16"/>
        <v>0</v>
      </c>
      <c r="G49" s="27">
        <f t="shared" si="16"/>
        <v>0</v>
      </c>
      <c r="H49" s="27">
        <f t="shared" si="16"/>
        <v>286767</v>
      </c>
      <c r="I49" s="27">
        <f t="shared" si="16"/>
        <v>0</v>
      </c>
      <c r="J49" s="27">
        <f t="shared" si="16"/>
        <v>0</v>
      </c>
      <c r="K49" s="27">
        <f t="shared" si="16"/>
        <v>0</v>
      </c>
      <c r="L49" s="27">
        <f t="shared" si="16"/>
        <v>0</v>
      </c>
      <c r="M49" s="2">
        <f t="shared" si="13"/>
        <v>286767</v>
      </c>
    </row>
    <row r="50" spans="1:13" ht="22.5">
      <c r="A50" s="68" t="s">
        <v>77</v>
      </c>
      <c r="B50" s="69"/>
      <c r="C50" s="4" t="s">
        <v>44</v>
      </c>
      <c r="D50" s="14">
        <f>333050*0.86</f>
        <v>286423</v>
      </c>
      <c r="E50" s="1"/>
      <c r="F50" s="1"/>
      <c r="G50" s="1"/>
      <c r="H50" s="40">
        <f>D50</f>
        <v>286423</v>
      </c>
      <c r="I50" s="1"/>
      <c r="J50" s="1"/>
      <c r="K50" s="1"/>
      <c r="L50" s="1"/>
      <c r="M50" s="2">
        <f t="shared" si="13"/>
        <v>286423</v>
      </c>
    </row>
    <row r="51" spans="1:13" ht="34.5" thickBot="1">
      <c r="A51" s="70" t="s">
        <v>78</v>
      </c>
      <c r="B51" s="71"/>
      <c r="C51" s="8" t="s">
        <v>2</v>
      </c>
      <c r="D51" s="19">
        <f>400*0.86</f>
        <v>344</v>
      </c>
      <c r="E51" s="1"/>
      <c r="F51" s="1"/>
      <c r="G51" s="1"/>
      <c r="H51" s="40">
        <f>D51</f>
        <v>344</v>
      </c>
      <c r="I51" s="1"/>
      <c r="J51" s="1"/>
      <c r="K51" s="1"/>
      <c r="L51" s="1"/>
      <c r="M51" s="2">
        <f t="shared" si="13"/>
        <v>344</v>
      </c>
    </row>
    <row r="52" spans="1:13" ht="15.75" thickBot="1">
      <c r="A52" s="72" t="s">
        <v>19</v>
      </c>
      <c r="B52" s="73"/>
      <c r="C52" s="74"/>
      <c r="D52" s="20">
        <f>SUM(D53:D56)</f>
        <v>1235515.347</v>
      </c>
      <c r="E52" s="34">
        <f aca="true" t="shared" si="17" ref="E52:L52">SUM(E53:E56)</f>
        <v>62240.5935</v>
      </c>
      <c r="F52" s="34">
        <f t="shared" si="17"/>
        <v>90061.3935</v>
      </c>
      <c r="G52" s="34">
        <f t="shared" si="17"/>
        <v>239683.04325</v>
      </c>
      <c r="H52" s="34">
        <f t="shared" si="17"/>
        <v>239683.04325</v>
      </c>
      <c r="I52" s="34">
        <f t="shared" si="17"/>
        <v>239683.04325</v>
      </c>
      <c r="J52" s="34">
        <f t="shared" si="17"/>
        <v>239683.04325</v>
      </c>
      <c r="K52" s="34">
        <f t="shared" si="17"/>
        <v>62240.5935</v>
      </c>
      <c r="L52" s="34">
        <f t="shared" si="17"/>
        <v>62240.5935</v>
      </c>
      <c r="M52" s="2">
        <f t="shared" si="13"/>
        <v>1235515.3469999998</v>
      </c>
    </row>
    <row r="53" spans="1:13" ht="38.25">
      <c r="A53" s="68" t="s">
        <v>30</v>
      </c>
      <c r="B53" s="69"/>
      <c r="C53" s="9" t="s">
        <v>26</v>
      </c>
      <c r="D53" s="16">
        <f>(446614.65+249300)*0.86</f>
        <v>598486.599</v>
      </c>
      <c r="E53" s="1"/>
      <c r="F53" s="1"/>
      <c r="G53" s="40">
        <f>D53/4</f>
        <v>149621.64975</v>
      </c>
      <c r="H53" s="40">
        <f>G53</f>
        <v>149621.64975</v>
      </c>
      <c r="I53" s="40">
        <f>H53</f>
        <v>149621.64975</v>
      </c>
      <c r="J53" s="40">
        <f>I53</f>
        <v>149621.64975</v>
      </c>
      <c r="K53" s="1"/>
      <c r="L53" s="1"/>
      <c r="M53" s="2">
        <f t="shared" si="13"/>
        <v>598486.599</v>
      </c>
    </row>
    <row r="54" spans="1:13" ht="14.25">
      <c r="A54" s="75" t="s">
        <v>20</v>
      </c>
      <c r="B54" s="78"/>
      <c r="C54" s="7" t="s">
        <v>0</v>
      </c>
      <c r="D54" s="21">
        <f>277772*0.909</f>
        <v>252494.74800000002</v>
      </c>
      <c r="E54" s="1">
        <f>D54/8</f>
        <v>31561.843500000003</v>
      </c>
      <c r="F54" s="1">
        <f>E54</f>
        <v>31561.843500000003</v>
      </c>
      <c r="G54" s="1">
        <f aca="true" t="shared" si="18" ref="G54:L55">F54</f>
        <v>31561.843500000003</v>
      </c>
      <c r="H54" s="1">
        <f t="shared" si="18"/>
        <v>31561.843500000003</v>
      </c>
      <c r="I54" s="1">
        <f t="shared" si="18"/>
        <v>31561.843500000003</v>
      </c>
      <c r="J54" s="1">
        <f t="shared" si="18"/>
        <v>31561.843500000003</v>
      </c>
      <c r="K54" s="1">
        <f t="shared" si="18"/>
        <v>31561.843500000003</v>
      </c>
      <c r="L54" s="1">
        <f t="shared" si="18"/>
        <v>31561.843500000003</v>
      </c>
      <c r="M54" s="2">
        <f t="shared" si="13"/>
        <v>252494.74800000008</v>
      </c>
    </row>
    <row r="55" spans="1:13" ht="14.25">
      <c r="A55" s="75" t="s">
        <v>79</v>
      </c>
      <c r="B55" s="78"/>
      <c r="C55" s="10" t="s">
        <v>45</v>
      </c>
      <c r="D55" s="18">
        <f>270000*0.909</f>
        <v>245430</v>
      </c>
      <c r="E55" s="40">
        <f>D55/8</f>
        <v>30678.75</v>
      </c>
      <c r="F55" s="40">
        <f>E55</f>
        <v>30678.75</v>
      </c>
      <c r="G55" s="40">
        <f t="shared" si="18"/>
        <v>30678.75</v>
      </c>
      <c r="H55" s="40">
        <f t="shared" si="18"/>
        <v>30678.75</v>
      </c>
      <c r="I55" s="40">
        <f t="shared" si="18"/>
        <v>30678.75</v>
      </c>
      <c r="J55" s="40">
        <f t="shared" si="18"/>
        <v>30678.75</v>
      </c>
      <c r="K55" s="40">
        <f t="shared" si="18"/>
        <v>30678.75</v>
      </c>
      <c r="L55" s="40">
        <f t="shared" si="18"/>
        <v>30678.75</v>
      </c>
      <c r="M55" s="2">
        <f t="shared" si="13"/>
        <v>245430</v>
      </c>
    </row>
    <row r="56" spans="1:13" ht="15" thickBot="1">
      <c r="A56" s="70" t="s">
        <v>22</v>
      </c>
      <c r="B56" s="71"/>
      <c r="C56" s="11" t="s">
        <v>3</v>
      </c>
      <c r="D56" s="15">
        <f>165600*0.84</f>
        <v>139104</v>
      </c>
      <c r="E56" s="1"/>
      <c r="F56" s="40">
        <f>D56*0.2</f>
        <v>27820.800000000003</v>
      </c>
      <c r="G56" s="40">
        <f>F56</f>
        <v>27820.800000000003</v>
      </c>
      <c r="H56" s="40">
        <f>G56</f>
        <v>27820.800000000003</v>
      </c>
      <c r="I56" s="40">
        <f>H56</f>
        <v>27820.800000000003</v>
      </c>
      <c r="J56" s="40">
        <f>I56</f>
        <v>27820.800000000003</v>
      </c>
      <c r="K56" s="1"/>
      <c r="L56" s="1"/>
      <c r="M56" s="2">
        <f t="shared" si="13"/>
        <v>139104</v>
      </c>
    </row>
    <row r="57" spans="1:13" ht="13.5" thickBot="1">
      <c r="A57" s="81" t="s">
        <v>31</v>
      </c>
      <c r="B57" s="82"/>
      <c r="C57" s="83"/>
      <c r="D57" s="22">
        <f>D52+D49+D42+D39+D36+D35</f>
        <v>1745536.137</v>
      </c>
      <c r="E57" s="36">
        <f aca="true" t="shared" si="19" ref="E57:L57">E52+E49+E42+E39+E36+E35</f>
        <v>79556.5935</v>
      </c>
      <c r="F57" s="36">
        <f t="shared" si="19"/>
        <v>118782.06150000001</v>
      </c>
      <c r="G57" s="36">
        <f t="shared" si="19"/>
        <v>248990.04525</v>
      </c>
      <c r="H57" s="36">
        <f t="shared" si="19"/>
        <v>526450.04325</v>
      </c>
      <c r="I57" s="36">
        <f t="shared" si="19"/>
        <v>398302.76324999996</v>
      </c>
      <c r="J57" s="36">
        <f t="shared" si="19"/>
        <v>245529.44324999998</v>
      </c>
      <c r="K57" s="36">
        <f t="shared" si="19"/>
        <v>65684.5935</v>
      </c>
      <c r="L57" s="36">
        <f t="shared" si="19"/>
        <v>62240.5935</v>
      </c>
      <c r="M57" s="2">
        <f t="shared" si="13"/>
        <v>1745536.1369999999</v>
      </c>
    </row>
    <row r="58" spans="1:13" ht="12.75">
      <c r="A58" s="96" t="s">
        <v>32</v>
      </c>
      <c r="B58" s="97"/>
      <c r="C58" s="98"/>
      <c r="D58" s="23">
        <f>D57*0.06</f>
        <v>104732.16822</v>
      </c>
      <c r="E58" s="37">
        <f aca="true" t="shared" si="20" ref="E58:L58">E57*0.06</f>
        <v>4773.39561</v>
      </c>
      <c r="F58" s="37">
        <f t="shared" si="20"/>
        <v>7126.9236900000005</v>
      </c>
      <c r="G58" s="37">
        <f t="shared" si="20"/>
        <v>14939.402714999998</v>
      </c>
      <c r="H58" s="37">
        <f t="shared" si="20"/>
        <v>31587.002594999998</v>
      </c>
      <c r="I58" s="37">
        <f t="shared" si="20"/>
        <v>23898.165794999997</v>
      </c>
      <c r="J58" s="37">
        <f t="shared" si="20"/>
        <v>14731.766595</v>
      </c>
      <c r="K58" s="37">
        <f t="shared" si="20"/>
        <v>3941.07561</v>
      </c>
      <c r="L58" s="37">
        <f t="shared" si="20"/>
        <v>3734.43561</v>
      </c>
      <c r="M58" s="2">
        <f t="shared" si="13"/>
        <v>104732.16821999999</v>
      </c>
    </row>
    <row r="59" spans="1:13" ht="12.75">
      <c r="A59" s="102" t="s">
        <v>85</v>
      </c>
      <c r="B59" s="105"/>
      <c r="C59" s="106"/>
      <c r="D59" s="63">
        <f>D57*0.03</f>
        <v>52366.08411</v>
      </c>
      <c r="E59" s="63">
        <f aca="true" t="shared" si="21" ref="E59:L59">E57*0.03</f>
        <v>2386.697805</v>
      </c>
      <c r="F59" s="63">
        <f t="shared" si="21"/>
        <v>3563.4618450000003</v>
      </c>
      <c r="G59" s="63">
        <f t="shared" si="21"/>
        <v>7469.701357499999</v>
      </c>
      <c r="H59" s="63">
        <f t="shared" si="21"/>
        <v>15793.501297499999</v>
      </c>
      <c r="I59" s="63">
        <f t="shared" si="21"/>
        <v>11949.082897499999</v>
      </c>
      <c r="J59" s="63">
        <f t="shared" si="21"/>
        <v>7365.8832975</v>
      </c>
      <c r="K59" s="63">
        <f t="shared" si="21"/>
        <v>1970.537805</v>
      </c>
      <c r="L59" s="63">
        <f t="shared" si="21"/>
        <v>1867.217805</v>
      </c>
      <c r="M59" s="2"/>
    </row>
    <row r="60" spans="1:13" ht="13.5" thickBot="1">
      <c r="A60" s="99" t="s">
        <v>33</v>
      </c>
      <c r="B60" s="100"/>
      <c r="C60" s="101"/>
      <c r="D60" s="24">
        <f>D57*0.01</f>
        <v>17455.361370000002</v>
      </c>
      <c r="E60" s="38">
        <f aca="true" t="shared" si="22" ref="E60:L60">E57*0.01</f>
        <v>795.5659350000001</v>
      </c>
      <c r="F60" s="38">
        <f t="shared" si="22"/>
        <v>1187.820615</v>
      </c>
      <c r="G60" s="38">
        <f t="shared" si="22"/>
        <v>2489.9004525</v>
      </c>
      <c r="H60" s="38">
        <f t="shared" si="22"/>
        <v>5264.5004325</v>
      </c>
      <c r="I60" s="38">
        <f t="shared" si="22"/>
        <v>3983.0276324999995</v>
      </c>
      <c r="J60" s="38">
        <f t="shared" si="22"/>
        <v>2455.2944325</v>
      </c>
      <c r="K60" s="38">
        <f t="shared" si="22"/>
        <v>656.845935</v>
      </c>
      <c r="L60" s="38">
        <f t="shared" si="22"/>
        <v>622.405935</v>
      </c>
      <c r="M60" s="2">
        <f t="shared" si="13"/>
        <v>17455.36137</v>
      </c>
    </row>
    <row r="61" spans="1:13" ht="13.5" thickBot="1">
      <c r="A61" s="81" t="s">
        <v>34</v>
      </c>
      <c r="B61" s="82"/>
      <c r="C61" s="83"/>
      <c r="D61" s="25">
        <f>SUM(D57:D60)</f>
        <v>1920089.7507000002</v>
      </c>
      <c r="E61" s="39">
        <f aca="true" t="shared" si="23" ref="E61:L61">SUM(E57:E60)</f>
        <v>87512.25285</v>
      </c>
      <c r="F61" s="39">
        <f t="shared" si="23"/>
        <v>130660.26765000001</v>
      </c>
      <c r="G61" s="39">
        <f t="shared" si="23"/>
        <v>273889.04977499996</v>
      </c>
      <c r="H61" s="39">
        <f t="shared" si="23"/>
        <v>579095.047575</v>
      </c>
      <c r="I61" s="39">
        <f t="shared" si="23"/>
        <v>438133.03957499994</v>
      </c>
      <c r="J61" s="39">
        <f t="shared" si="23"/>
        <v>270082.387575</v>
      </c>
      <c r="K61" s="39">
        <f t="shared" si="23"/>
        <v>72253.05285000001</v>
      </c>
      <c r="L61" s="39">
        <f t="shared" si="23"/>
        <v>68464.65285</v>
      </c>
      <c r="M61" s="2">
        <f t="shared" si="13"/>
        <v>1920089.7507</v>
      </c>
    </row>
    <row r="62" spans="8:12" ht="12.75">
      <c r="H62" s="2">
        <f>SUM(E61:H61)</f>
        <v>1071156.61785</v>
      </c>
      <c r="L62" s="2">
        <f>SUM(I61:L61)</f>
        <v>848933.1328499998</v>
      </c>
    </row>
  </sheetData>
  <sheetProtection/>
  <mergeCells count="58">
    <mergeCell ref="A59:C59"/>
    <mergeCell ref="A58:C58"/>
    <mergeCell ref="A60:C60"/>
    <mergeCell ref="A61:C61"/>
    <mergeCell ref="A33:D33"/>
    <mergeCell ref="A54:B54"/>
    <mergeCell ref="A55:B55"/>
    <mergeCell ref="A56:B56"/>
    <mergeCell ref="A57:C57"/>
    <mergeCell ref="A50:B50"/>
    <mergeCell ref="A51:B51"/>
    <mergeCell ref="A52:C52"/>
    <mergeCell ref="A53:B53"/>
    <mergeCell ref="A46:B46"/>
    <mergeCell ref="A47:B47"/>
    <mergeCell ref="A48:B48"/>
    <mergeCell ref="A49:C49"/>
    <mergeCell ref="A42:C42"/>
    <mergeCell ref="A43:B43"/>
    <mergeCell ref="A44:B44"/>
    <mergeCell ref="A45:B45"/>
    <mergeCell ref="A38:B38"/>
    <mergeCell ref="A39:C39"/>
    <mergeCell ref="A40:B40"/>
    <mergeCell ref="A41:B41"/>
    <mergeCell ref="A34:C34"/>
    <mergeCell ref="A35:C35"/>
    <mergeCell ref="A36:C36"/>
    <mergeCell ref="A37:B37"/>
    <mergeCell ref="A26:C26"/>
    <mergeCell ref="A27:C27"/>
    <mergeCell ref="A29:C29"/>
    <mergeCell ref="A30:C30"/>
    <mergeCell ref="A28:C28"/>
    <mergeCell ref="A22:B22"/>
    <mergeCell ref="A23:B23"/>
    <mergeCell ref="A24:B24"/>
    <mergeCell ref="A25:B25"/>
    <mergeCell ref="A18:C18"/>
    <mergeCell ref="A19:B19"/>
    <mergeCell ref="A20:B20"/>
    <mergeCell ref="A21:C21"/>
    <mergeCell ref="A14:B14"/>
    <mergeCell ref="A15:B15"/>
    <mergeCell ref="A16:B16"/>
    <mergeCell ref="A17:B17"/>
    <mergeCell ref="A10:B10"/>
    <mergeCell ref="A11:C11"/>
    <mergeCell ref="A12:B12"/>
    <mergeCell ref="A13:B13"/>
    <mergeCell ref="A6:B6"/>
    <mergeCell ref="A7:B7"/>
    <mergeCell ref="A8:C8"/>
    <mergeCell ref="A9:B9"/>
    <mergeCell ref="A2:D2"/>
    <mergeCell ref="A3:C3"/>
    <mergeCell ref="A4:C4"/>
    <mergeCell ref="A5:C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8"/>
  <sheetViews>
    <sheetView zoomScalePageLayoutView="0" workbookViewId="0" topLeftCell="A9">
      <selection activeCell="I32" sqref="I32"/>
    </sheetView>
  </sheetViews>
  <sheetFormatPr defaultColWidth="11.421875" defaultRowHeight="12.75"/>
  <cols>
    <col min="2" max="2" width="22.28125" style="0" customWidth="1"/>
  </cols>
  <sheetData>
    <row r="2" ht="13.5" thickBot="1"/>
    <row r="3" spans="2:12" ht="13.5" thickBot="1">
      <c r="B3" s="114" t="s">
        <v>54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2:12" ht="13.5" thickBot="1">
      <c r="B4" s="41" t="s">
        <v>55</v>
      </c>
      <c r="C4" s="114" t="s">
        <v>56</v>
      </c>
      <c r="D4" s="115"/>
      <c r="E4" s="115"/>
      <c r="F4" s="115"/>
      <c r="G4" s="115"/>
      <c r="H4" s="115"/>
      <c r="I4" s="115"/>
      <c r="J4" s="116"/>
      <c r="K4" s="42"/>
      <c r="L4" s="42"/>
    </row>
    <row r="5" spans="2:12" ht="13.5" thickBot="1">
      <c r="B5" s="41"/>
      <c r="C5" s="43" t="s">
        <v>57</v>
      </c>
      <c r="D5" s="43" t="s">
        <v>58</v>
      </c>
      <c r="E5" s="43" t="s">
        <v>59</v>
      </c>
      <c r="F5" s="43" t="s">
        <v>60</v>
      </c>
      <c r="G5" s="43" t="s">
        <v>61</v>
      </c>
      <c r="H5" s="43" t="s">
        <v>62</v>
      </c>
      <c r="I5" s="43" t="s">
        <v>63</v>
      </c>
      <c r="J5" s="43" t="s">
        <v>64</v>
      </c>
      <c r="K5" s="43" t="s">
        <v>65</v>
      </c>
      <c r="L5" s="43" t="s">
        <v>66</v>
      </c>
    </row>
    <row r="6" spans="2:12" ht="13.5" thickBot="1">
      <c r="B6" s="44" t="s">
        <v>67</v>
      </c>
      <c r="C6" s="42"/>
      <c r="D6" s="42"/>
      <c r="E6" s="46">
        <f>793630*1</f>
        <v>793630</v>
      </c>
      <c r="F6" s="46">
        <f aca="true" t="shared" si="0" ref="F6:L6">793630*1</f>
        <v>793630</v>
      </c>
      <c r="G6" s="46">
        <f t="shared" si="0"/>
        <v>793630</v>
      </c>
      <c r="H6" s="46">
        <f t="shared" si="0"/>
        <v>793630</v>
      </c>
      <c r="I6" s="46">
        <f t="shared" si="0"/>
        <v>793630</v>
      </c>
      <c r="J6" s="46">
        <f t="shared" si="0"/>
        <v>793630</v>
      </c>
      <c r="K6" s="46">
        <f t="shared" si="0"/>
        <v>793630</v>
      </c>
      <c r="L6" s="46">
        <f t="shared" si="0"/>
        <v>793630</v>
      </c>
    </row>
    <row r="7" spans="2:12" ht="13.5" thickBot="1">
      <c r="B7" s="44" t="s">
        <v>68</v>
      </c>
      <c r="C7" s="47">
        <f>'FLUJO DE COSTOS'!G31</f>
        <v>1210212.6575</v>
      </c>
      <c r="D7" s="47">
        <f>'FLUJO DE COSTOS'!K31</f>
        <v>976773.9575</v>
      </c>
      <c r="E7" s="47">
        <v>162000</v>
      </c>
      <c r="F7" s="47">
        <v>162000</v>
      </c>
      <c r="G7" s="47">
        <v>162000</v>
      </c>
      <c r="H7" s="47">
        <v>162000</v>
      </c>
      <c r="I7" s="47">
        <v>162000</v>
      </c>
      <c r="J7" s="47">
        <v>162000</v>
      </c>
      <c r="K7" s="47">
        <v>162000</v>
      </c>
      <c r="L7" s="47">
        <v>162000</v>
      </c>
    </row>
    <row r="8" spans="2:12" ht="13.5" thickBot="1">
      <c r="B8" s="44" t="s">
        <v>69</v>
      </c>
      <c r="C8" s="47">
        <f>C6-C7</f>
        <v>-1210212.6575</v>
      </c>
      <c r="D8" s="47">
        <f aca="true" t="shared" si="1" ref="D8:L8">D6-D7</f>
        <v>-976773.9575</v>
      </c>
      <c r="E8" s="47">
        <f t="shared" si="1"/>
        <v>631630</v>
      </c>
      <c r="F8" s="47">
        <f t="shared" si="1"/>
        <v>631630</v>
      </c>
      <c r="G8" s="47">
        <f t="shared" si="1"/>
        <v>631630</v>
      </c>
      <c r="H8" s="47">
        <f t="shared" si="1"/>
        <v>631630</v>
      </c>
      <c r="I8" s="47">
        <f t="shared" si="1"/>
        <v>631630</v>
      </c>
      <c r="J8" s="47">
        <f t="shared" si="1"/>
        <v>631630</v>
      </c>
      <c r="K8" s="47">
        <f t="shared" si="1"/>
        <v>631630</v>
      </c>
      <c r="L8" s="47">
        <f t="shared" si="1"/>
        <v>631630</v>
      </c>
    </row>
    <row r="10" spans="1:2" ht="12.75">
      <c r="A10" t="s">
        <v>72</v>
      </c>
      <c r="B10" s="45">
        <f>NPV(0.11,D8:L8)+C8</f>
        <v>838140.1010444786</v>
      </c>
    </row>
    <row r="11" spans="1:2" ht="12.75">
      <c r="A11" t="s">
        <v>73</v>
      </c>
      <c r="B11" s="49">
        <f>IRR(C8:L8)</f>
        <v>0.19936471246010193</v>
      </c>
    </row>
    <row r="12" spans="1:2" ht="12.75">
      <c r="A12" t="s">
        <v>75</v>
      </c>
      <c r="B12" s="51">
        <f>NPV(0.11,E8:L8)/SUM(C8:D8)</f>
        <v>-1.4862667641358065</v>
      </c>
    </row>
    <row r="13" ht="13.5" thickBot="1"/>
    <row r="14" spans="2:12" ht="13.5" thickBot="1">
      <c r="B14" s="114" t="s">
        <v>87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2:12" ht="13.5" thickBot="1">
      <c r="B15" s="41" t="s">
        <v>55</v>
      </c>
      <c r="C15" s="114" t="s">
        <v>56</v>
      </c>
      <c r="D15" s="115"/>
      <c r="E15" s="115"/>
      <c r="F15" s="115"/>
      <c r="G15" s="115"/>
      <c r="H15" s="115"/>
      <c r="I15" s="115"/>
      <c r="J15" s="116"/>
      <c r="K15" s="42"/>
      <c r="L15" s="42"/>
    </row>
    <row r="16" spans="2:12" ht="13.5" thickBot="1">
      <c r="B16" s="41"/>
      <c r="C16" s="43" t="s">
        <v>57</v>
      </c>
      <c r="D16" s="43" t="s">
        <v>58</v>
      </c>
      <c r="E16" s="43" t="s">
        <v>59</v>
      </c>
      <c r="F16" s="43" t="s">
        <v>60</v>
      </c>
      <c r="G16" s="43" t="s">
        <v>61</v>
      </c>
      <c r="H16" s="43" t="s">
        <v>62</v>
      </c>
      <c r="I16" s="43" t="s">
        <v>63</v>
      </c>
      <c r="J16" s="43" t="s">
        <v>64</v>
      </c>
      <c r="K16" s="43" t="s">
        <v>65</v>
      </c>
      <c r="L16" s="43" t="s">
        <v>66</v>
      </c>
    </row>
    <row r="17" spans="2:12" ht="13.5" thickBot="1">
      <c r="B17" s="44" t="s">
        <v>67</v>
      </c>
      <c r="C17" s="42"/>
      <c r="D17" s="42"/>
      <c r="E17" s="48">
        <f>793630*1</f>
        <v>793630</v>
      </c>
      <c r="F17" s="48">
        <f aca="true" t="shared" si="2" ref="F17:L17">793630*1</f>
        <v>793630</v>
      </c>
      <c r="G17" s="48">
        <f t="shared" si="2"/>
        <v>793630</v>
      </c>
      <c r="H17" s="48">
        <f t="shared" si="2"/>
        <v>793630</v>
      </c>
      <c r="I17" s="48">
        <f t="shared" si="2"/>
        <v>793630</v>
      </c>
      <c r="J17" s="48">
        <f t="shared" si="2"/>
        <v>793630</v>
      </c>
      <c r="K17" s="48">
        <f t="shared" si="2"/>
        <v>793630</v>
      </c>
      <c r="L17" s="48">
        <f t="shared" si="2"/>
        <v>793630</v>
      </c>
    </row>
    <row r="18" spans="2:12" ht="13.5" thickBot="1">
      <c r="B18" s="44" t="s">
        <v>68</v>
      </c>
      <c r="C18" s="47">
        <f>'FLUJO DE COSTOS'!G63</f>
        <v>1230782.6575</v>
      </c>
      <c r="D18" s="47">
        <f>'FLUJO DE COSTOS'!K63</f>
        <v>976773.9575</v>
      </c>
      <c r="E18" s="48">
        <v>162000</v>
      </c>
      <c r="F18" s="48">
        <v>162000</v>
      </c>
      <c r="G18" s="48">
        <v>162000</v>
      </c>
      <c r="H18" s="48">
        <v>162000</v>
      </c>
      <c r="I18" s="48">
        <v>162000</v>
      </c>
      <c r="J18" s="48">
        <v>162000</v>
      </c>
      <c r="K18" s="48">
        <v>162000</v>
      </c>
      <c r="L18" s="48">
        <v>162000</v>
      </c>
    </row>
    <row r="19" spans="2:12" ht="13.5" thickBot="1">
      <c r="B19" s="44" t="s">
        <v>71</v>
      </c>
      <c r="C19" s="47">
        <f>C17-C18</f>
        <v>-1230782.6575</v>
      </c>
      <c r="D19" s="47">
        <f aca="true" t="shared" si="3" ref="D19:L19">D17-D18</f>
        <v>-976773.9575</v>
      </c>
      <c r="E19" s="47">
        <f t="shared" si="3"/>
        <v>631630</v>
      </c>
      <c r="F19" s="47">
        <f t="shared" si="3"/>
        <v>631630</v>
      </c>
      <c r="G19" s="47">
        <f t="shared" si="3"/>
        <v>631630</v>
      </c>
      <c r="H19" s="47">
        <f t="shared" si="3"/>
        <v>631630</v>
      </c>
      <c r="I19" s="47">
        <f t="shared" si="3"/>
        <v>631630</v>
      </c>
      <c r="J19" s="47">
        <f t="shared" si="3"/>
        <v>631630</v>
      </c>
      <c r="K19" s="47">
        <f t="shared" si="3"/>
        <v>631630</v>
      </c>
      <c r="L19" s="47">
        <f t="shared" si="3"/>
        <v>631630</v>
      </c>
    </row>
    <row r="21" spans="1:2" ht="12.75">
      <c r="A21" t="s">
        <v>74</v>
      </c>
      <c r="B21" s="45">
        <f>NPV(0.11,D19:L19)+C19</f>
        <v>817570.1010444786</v>
      </c>
    </row>
    <row r="22" spans="1:2" ht="12.75">
      <c r="A22" t="s">
        <v>73</v>
      </c>
      <c r="B22" s="50">
        <f>IRR(C19:L19)</f>
        <v>0.19647144421604779</v>
      </c>
    </row>
    <row r="23" spans="1:8" ht="12.75">
      <c r="A23" t="s">
        <v>75</v>
      </c>
      <c r="B23" s="51">
        <f>NPV(0.11,E19:L19)/SUM(C19:D19)</f>
        <v>-1.4724177388693476</v>
      </c>
      <c r="H23" s="45"/>
    </row>
    <row r="27" ht="13.5" thickBot="1"/>
    <row r="28" spans="2:6" ht="13.5" thickBot="1">
      <c r="B28" s="107" t="s">
        <v>81</v>
      </c>
      <c r="C28" s="108"/>
      <c r="D28" s="108"/>
      <c r="E28" s="108"/>
      <c r="F28" s="109"/>
    </row>
    <row r="29" spans="2:6" ht="12.75">
      <c r="B29" s="55"/>
      <c r="C29" s="110" t="s">
        <v>76</v>
      </c>
      <c r="D29" s="111"/>
      <c r="E29" s="110" t="s">
        <v>84</v>
      </c>
      <c r="F29" s="111"/>
    </row>
    <row r="30" spans="2:6" ht="13.5" thickBot="1">
      <c r="B30" s="55" t="s">
        <v>82</v>
      </c>
      <c r="C30" s="112"/>
      <c r="D30" s="113"/>
      <c r="E30" s="112"/>
      <c r="F30" s="113"/>
    </row>
    <row r="31" spans="2:6" ht="13.5" thickBot="1">
      <c r="B31" s="57" t="s">
        <v>83</v>
      </c>
      <c r="C31" s="56" t="s">
        <v>72</v>
      </c>
      <c r="D31" s="56" t="s">
        <v>73</v>
      </c>
      <c r="E31" s="56" t="s">
        <v>72</v>
      </c>
      <c r="F31" s="56" t="s">
        <v>73</v>
      </c>
    </row>
    <row r="32" spans="2:6" ht="13.5" thickBot="1">
      <c r="B32" s="58">
        <v>-0.15</v>
      </c>
      <c r="C32" s="59">
        <v>286232.34</v>
      </c>
      <c r="D32" s="60">
        <v>0.1423</v>
      </c>
      <c r="E32" s="59">
        <v>265662.34</v>
      </c>
      <c r="F32" s="60">
        <v>0.1398</v>
      </c>
    </row>
    <row r="33" spans="2:6" ht="13.5" thickBot="1">
      <c r="B33" s="58">
        <v>-0.1</v>
      </c>
      <c r="C33" s="59">
        <v>470201.6</v>
      </c>
      <c r="D33" s="60">
        <v>0.162</v>
      </c>
      <c r="E33" s="59">
        <v>449631.6</v>
      </c>
      <c r="F33" s="60">
        <v>0.1594</v>
      </c>
    </row>
    <row r="34" spans="2:6" ht="13.5" thickBot="1">
      <c r="B34" s="58">
        <v>-0.05</v>
      </c>
      <c r="C34" s="59">
        <v>654170.85</v>
      </c>
      <c r="D34" s="60">
        <v>0.181</v>
      </c>
      <c r="E34" s="59">
        <v>633600.85</v>
      </c>
      <c r="F34" s="60">
        <v>0.1782</v>
      </c>
    </row>
    <row r="35" spans="2:6" ht="13.5" thickBot="1">
      <c r="B35" s="58">
        <v>0</v>
      </c>
      <c r="C35" s="59">
        <v>838140.1</v>
      </c>
      <c r="D35" s="60">
        <v>0.1994</v>
      </c>
      <c r="E35" s="61">
        <v>817570.1</v>
      </c>
      <c r="F35" s="60">
        <v>0.1965</v>
      </c>
    </row>
    <row r="36" spans="2:6" ht="13.5" thickBot="1">
      <c r="B36" s="58">
        <v>0.05</v>
      </c>
      <c r="C36" s="59">
        <v>1022109.35</v>
      </c>
      <c r="D36" s="60">
        <v>0.2171</v>
      </c>
      <c r="E36" s="59">
        <v>1001539.35</v>
      </c>
      <c r="F36" s="60">
        <v>0.2141</v>
      </c>
    </row>
    <row r="37" spans="2:6" ht="13.5" thickBot="1">
      <c r="B37" s="58">
        <v>0.1</v>
      </c>
      <c r="C37" s="59">
        <v>1206078.61</v>
      </c>
      <c r="D37" s="60">
        <v>0.2344</v>
      </c>
      <c r="E37" s="59">
        <v>1185508.61</v>
      </c>
      <c r="F37" s="60">
        <v>0.2313</v>
      </c>
    </row>
    <row r="38" spans="2:6" ht="13.5" thickBot="1">
      <c r="B38" s="58">
        <v>0.15</v>
      </c>
      <c r="C38" s="59">
        <v>1390047.86</v>
      </c>
      <c r="D38" s="60">
        <v>0.2512</v>
      </c>
      <c r="E38" s="59">
        <v>1369477.86</v>
      </c>
      <c r="F38" s="60">
        <v>0.248</v>
      </c>
    </row>
  </sheetData>
  <sheetProtection/>
  <mergeCells count="7">
    <mergeCell ref="B28:F28"/>
    <mergeCell ref="C29:D30"/>
    <mergeCell ref="E29:F30"/>
    <mergeCell ref="B3:L3"/>
    <mergeCell ref="C4:J4"/>
    <mergeCell ref="B14:L14"/>
    <mergeCell ref="C15:J15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2" max="2" width="22.28125" style="0" customWidth="1"/>
  </cols>
  <sheetData>
    <row r="2" ht="13.5" thickBot="1"/>
    <row r="3" spans="2:12" ht="13.5" thickBot="1">
      <c r="B3" s="114" t="s">
        <v>54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2:12" ht="13.5" thickBot="1">
      <c r="B4" s="41" t="s">
        <v>55</v>
      </c>
      <c r="C4" s="114" t="s">
        <v>56</v>
      </c>
      <c r="D4" s="115"/>
      <c r="E4" s="115"/>
      <c r="F4" s="115"/>
      <c r="G4" s="115"/>
      <c r="H4" s="115"/>
      <c r="I4" s="115"/>
      <c r="J4" s="116"/>
      <c r="K4" s="42"/>
      <c r="L4" s="42"/>
    </row>
    <row r="5" spans="2:12" ht="13.5" thickBot="1">
      <c r="B5" s="41"/>
      <c r="C5" s="43" t="s">
        <v>57</v>
      </c>
      <c r="D5" s="43" t="s">
        <v>58</v>
      </c>
      <c r="E5" s="43" t="s">
        <v>59</v>
      </c>
      <c r="F5" s="43" t="s">
        <v>60</v>
      </c>
      <c r="G5" s="43" t="s">
        <v>61</v>
      </c>
      <c r="H5" s="43" t="s">
        <v>62</v>
      </c>
      <c r="I5" s="43" t="s">
        <v>63</v>
      </c>
      <c r="J5" s="43" t="s">
        <v>64</v>
      </c>
      <c r="K5" s="43" t="s">
        <v>65</v>
      </c>
      <c r="L5" s="43" t="s">
        <v>66</v>
      </c>
    </row>
    <row r="6" spans="2:12" ht="13.5" thickBot="1">
      <c r="B6" s="44" t="s">
        <v>67</v>
      </c>
      <c r="C6" s="42"/>
      <c r="D6" s="42"/>
      <c r="E6" s="46">
        <v>793630</v>
      </c>
      <c r="F6" s="46">
        <v>799185.41</v>
      </c>
      <c r="G6" s="46">
        <v>804779.71</v>
      </c>
      <c r="H6" s="46">
        <v>810413.17</v>
      </c>
      <c r="I6" s="46">
        <v>816086.06</v>
      </c>
      <c r="J6" s="46">
        <v>821798.66</v>
      </c>
      <c r="K6" s="46">
        <v>827551.25</v>
      </c>
      <c r="L6" s="46">
        <v>833344.11</v>
      </c>
    </row>
    <row r="7" spans="2:12" ht="13.5" thickBot="1">
      <c r="B7" s="44" t="s">
        <v>68</v>
      </c>
      <c r="C7" s="47">
        <f>'COSTOS SOCIALES'!H31</f>
        <v>1053877.81785</v>
      </c>
      <c r="D7" s="47">
        <f>'COSTOS SOCIALES'!L31</f>
        <v>848933.1328499998</v>
      </c>
      <c r="E7" s="47">
        <f>162000*0.84</f>
        <v>136080</v>
      </c>
      <c r="F7" s="47">
        <f aca="true" t="shared" si="0" ref="F7:L7">162000*0.84</f>
        <v>136080</v>
      </c>
      <c r="G7" s="47">
        <f t="shared" si="0"/>
        <v>136080</v>
      </c>
      <c r="H7" s="47">
        <f t="shared" si="0"/>
        <v>136080</v>
      </c>
      <c r="I7" s="47">
        <f t="shared" si="0"/>
        <v>136080</v>
      </c>
      <c r="J7" s="47">
        <f t="shared" si="0"/>
        <v>136080</v>
      </c>
      <c r="K7" s="47">
        <f t="shared" si="0"/>
        <v>136080</v>
      </c>
      <c r="L7" s="47">
        <f t="shared" si="0"/>
        <v>136080</v>
      </c>
    </row>
    <row r="8" spans="2:12" ht="13.5" thickBot="1">
      <c r="B8" s="44" t="s">
        <v>69</v>
      </c>
      <c r="C8" s="47">
        <f aca="true" t="shared" si="1" ref="C8:L8">C6-C7</f>
        <v>-1053877.81785</v>
      </c>
      <c r="D8" s="47">
        <f t="shared" si="1"/>
        <v>-848933.1328499998</v>
      </c>
      <c r="E8" s="47">
        <f t="shared" si="1"/>
        <v>657550</v>
      </c>
      <c r="F8" s="47">
        <f t="shared" si="1"/>
        <v>663105.41</v>
      </c>
      <c r="G8" s="47">
        <f t="shared" si="1"/>
        <v>668699.71</v>
      </c>
      <c r="H8" s="47">
        <f t="shared" si="1"/>
        <v>674333.17</v>
      </c>
      <c r="I8" s="47">
        <f t="shared" si="1"/>
        <v>680006.06</v>
      </c>
      <c r="J8" s="47">
        <f t="shared" si="1"/>
        <v>685718.66</v>
      </c>
      <c r="K8" s="47">
        <f t="shared" si="1"/>
        <v>691471.25</v>
      </c>
      <c r="L8" s="47">
        <f t="shared" si="1"/>
        <v>697264.11</v>
      </c>
    </row>
    <row r="10" spans="1:2" ht="12.75">
      <c r="A10" t="s">
        <v>72</v>
      </c>
      <c r="B10" s="45">
        <f>NPV(0.11,D8:L8)+C8</f>
        <v>1307000.6544914448</v>
      </c>
    </row>
    <row r="11" spans="1:2" ht="12.75">
      <c r="A11" t="s">
        <v>73</v>
      </c>
      <c r="B11" s="49">
        <f>IRR(C8:L8)</f>
        <v>0.25955722925493685</v>
      </c>
    </row>
    <row r="12" spans="1:2" ht="12.75">
      <c r="A12" t="s">
        <v>75</v>
      </c>
      <c r="B12" s="52">
        <f>NPV(0.11,E8:L8)/SUM(C8:D8)</f>
        <v>-1.8233594019798194</v>
      </c>
    </row>
    <row r="13" ht="13.5" thickBot="1"/>
    <row r="14" spans="2:12" ht="13.5" thickBot="1">
      <c r="B14" s="114" t="s">
        <v>70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2:12" ht="13.5" thickBot="1">
      <c r="B15" s="41" t="s">
        <v>55</v>
      </c>
      <c r="C15" s="114" t="s">
        <v>56</v>
      </c>
      <c r="D15" s="115"/>
      <c r="E15" s="115"/>
      <c r="F15" s="115"/>
      <c r="G15" s="115"/>
      <c r="H15" s="115"/>
      <c r="I15" s="115"/>
      <c r="J15" s="116"/>
      <c r="K15" s="42"/>
      <c r="L15" s="42"/>
    </row>
    <row r="16" spans="2:12" ht="13.5" thickBot="1">
      <c r="B16" s="41"/>
      <c r="C16" s="43" t="s">
        <v>57</v>
      </c>
      <c r="D16" s="43" t="s">
        <v>58</v>
      </c>
      <c r="E16" s="43" t="s">
        <v>59</v>
      </c>
      <c r="F16" s="43" t="s">
        <v>60</v>
      </c>
      <c r="G16" s="43" t="s">
        <v>61</v>
      </c>
      <c r="H16" s="43" t="s">
        <v>62</v>
      </c>
      <c r="I16" s="43" t="s">
        <v>63</v>
      </c>
      <c r="J16" s="43" t="s">
        <v>64</v>
      </c>
      <c r="K16" s="43" t="s">
        <v>65</v>
      </c>
      <c r="L16" s="43" t="s">
        <v>66</v>
      </c>
    </row>
    <row r="17" spans="2:12" ht="13.5" thickBot="1">
      <c r="B17" s="44" t="s">
        <v>67</v>
      </c>
      <c r="C17" s="42"/>
      <c r="D17" s="42"/>
      <c r="E17" s="48">
        <v>793630</v>
      </c>
      <c r="F17" s="48">
        <v>799185</v>
      </c>
      <c r="G17" s="48">
        <v>804780</v>
      </c>
      <c r="H17" s="48">
        <v>810413</v>
      </c>
      <c r="I17" s="48">
        <v>816086</v>
      </c>
      <c r="J17" s="48">
        <v>821799</v>
      </c>
      <c r="K17" s="48">
        <v>827551</v>
      </c>
      <c r="L17" s="48">
        <v>833344</v>
      </c>
    </row>
    <row r="18" spans="2:12" ht="13.5" thickBot="1">
      <c r="B18" s="44" t="s">
        <v>68</v>
      </c>
      <c r="C18" s="47">
        <f>'COSTOS SOCIALES'!H62</f>
        <v>1071156.61785</v>
      </c>
      <c r="D18" s="47">
        <f>'COSTOS SOCIALES'!L62</f>
        <v>848933.1328499998</v>
      </c>
      <c r="E18" s="48">
        <f>162000*0.84</f>
        <v>136080</v>
      </c>
      <c r="F18" s="48">
        <f aca="true" t="shared" si="2" ref="F18:L18">162000*0.84</f>
        <v>136080</v>
      </c>
      <c r="G18" s="48">
        <f t="shared" si="2"/>
        <v>136080</v>
      </c>
      <c r="H18" s="48">
        <f t="shared" si="2"/>
        <v>136080</v>
      </c>
      <c r="I18" s="48">
        <f t="shared" si="2"/>
        <v>136080</v>
      </c>
      <c r="J18" s="48">
        <f t="shared" si="2"/>
        <v>136080</v>
      </c>
      <c r="K18" s="48">
        <f t="shared" si="2"/>
        <v>136080</v>
      </c>
      <c r="L18" s="48">
        <f t="shared" si="2"/>
        <v>136080</v>
      </c>
    </row>
    <row r="19" spans="2:12" ht="13.5" thickBot="1">
      <c r="B19" s="44" t="s">
        <v>71</v>
      </c>
      <c r="C19" s="47">
        <f aca="true" t="shared" si="3" ref="C19:L19">C17-C18</f>
        <v>-1071156.61785</v>
      </c>
      <c r="D19" s="47">
        <f t="shared" si="3"/>
        <v>-848933.1328499998</v>
      </c>
      <c r="E19" s="47">
        <f t="shared" si="3"/>
        <v>657550</v>
      </c>
      <c r="F19" s="47">
        <f t="shared" si="3"/>
        <v>663105</v>
      </c>
      <c r="G19" s="47">
        <f t="shared" si="3"/>
        <v>668700</v>
      </c>
      <c r="H19" s="47">
        <f t="shared" si="3"/>
        <v>674333</v>
      </c>
      <c r="I19" s="47">
        <f t="shared" si="3"/>
        <v>680006</v>
      </c>
      <c r="J19" s="47">
        <f t="shared" si="3"/>
        <v>685719</v>
      </c>
      <c r="K19" s="47">
        <f t="shared" si="3"/>
        <v>691471</v>
      </c>
      <c r="L19" s="47">
        <f t="shared" si="3"/>
        <v>697264</v>
      </c>
    </row>
    <row r="21" spans="1:2" ht="12.75">
      <c r="A21" t="s">
        <v>74</v>
      </c>
      <c r="B21" s="45">
        <f>NPV(0.11,D19:L19)+C19</f>
        <v>1289721.6250502956</v>
      </c>
    </row>
    <row r="22" spans="1:2" ht="12.75">
      <c r="A22" t="s">
        <v>73</v>
      </c>
      <c r="B22" s="53">
        <f>IRR(C19:L19)</f>
        <v>0.25643545357563957</v>
      </c>
    </row>
    <row r="23" spans="1:2" ht="12.75">
      <c r="A23" t="s">
        <v>75</v>
      </c>
      <c r="B23" s="52">
        <f>NPV(0.11,E19:L19)/SUM(C19:D19)</f>
        <v>-1.8069509413320197</v>
      </c>
    </row>
  </sheetData>
  <sheetProtection/>
  <mergeCells count="4">
    <mergeCell ref="B3:L3"/>
    <mergeCell ref="C4:J4"/>
    <mergeCell ref="B14:L14"/>
    <mergeCell ref="C15:J1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</dc:creator>
  <cp:keywords/>
  <dc:description/>
  <cp:lastModifiedBy>user</cp:lastModifiedBy>
  <dcterms:created xsi:type="dcterms:W3CDTF">2009-03-06T11:32:37Z</dcterms:created>
  <dcterms:modified xsi:type="dcterms:W3CDTF">2011-06-28T23:14:29Z</dcterms:modified>
  <cp:category/>
  <cp:version/>
  <cp:contentType/>
  <cp:contentStatus/>
</cp:coreProperties>
</file>